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poland\Documents\XXII Century 2018\Data\"/>
    </mc:Choice>
  </mc:AlternateContent>
  <bookViews>
    <workbookView xWindow="360" yWindow="480" windowWidth="21000" windowHeight="7992" activeTab="2"/>
  </bookViews>
  <sheets>
    <sheet name="Thun2013" sheetId="1" r:id="rId1"/>
    <sheet name="Thun1997" sheetId="3" r:id="rId2"/>
    <sheet name="CPD" sheetId="5" r:id="rId3"/>
  </sheets>
  <calcPr calcId="162913"/>
</workbook>
</file>

<file path=xl/calcChain.xml><?xml version="1.0" encoding="utf-8"?>
<calcChain xmlns="http://schemas.openxmlformats.org/spreadsheetml/2006/main">
  <c r="N21" i="5" l="1"/>
  <c r="N19" i="5"/>
  <c r="N17" i="5"/>
  <c r="N15" i="5"/>
  <c r="N13" i="5"/>
  <c r="N11" i="5"/>
  <c r="Q17" i="5"/>
  <c r="Q15" i="5"/>
  <c r="Q13" i="5"/>
  <c r="Q11" i="5"/>
  <c r="F33" i="3" l="1"/>
  <c r="D16" i="5"/>
  <c r="E16" i="5"/>
  <c r="M49" i="3" l="1"/>
  <c r="M48" i="3"/>
  <c r="P48" i="3"/>
  <c r="P49" i="3" s="1"/>
  <c r="M47" i="3"/>
  <c r="M46" i="3"/>
  <c r="P46" i="3"/>
  <c r="P47" i="3" s="1"/>
  <c r="P44" i="3"/>
  <c r="P45" i="3" s="1"/>
  <c r="I49" i="3"/>
  <c r="I48" i="3"/>
  <c r="L48" i="3"/>
  <c r="L49" i="3" s="1"/>
  <c r="L47" i="3"/>
  <c r="J47" i="3"/>
  <c r="J46" i="3"/>
  <c r="L46" i="3"/>
  <c r="J45" i="3"/>
  <c r="J44" i="3"/>
  <c r="L44" i="3"/>
  <c r="L45" i="3" s="1"/>
  <c r="I42" i="3"/>
  <c r="J42" i="3"/>
  <c r="K42" i="3"/>
  <c r="H48" i="3"/>
  <c r="H46" i="3"/>
  <c r="E45" i="3"/>
  <c r="O46" i="3" s="1"/>
  <c r="O47" i="3" s="1"/>
  <c r="F46" i="3"/>
  <c r="F44" i="3"/>
  <c r="F45" i="3"/>
  <c r="E46" i="3"/>
  <c r="O48" i="3" s="1"/>
  <c r="O49" i="3" s="1"/>
  <c r="E44" i="3"/>
  <c r="O44" i="3" s="1"/>
  <c r="O45" i="3" s="1"/>
  <c r="D46" i="3"/>
  <c r="N48" i="3" s="1"/>
  <c r="N49" i="3" s="1"/>
  <c r="D45" i="3"/>
  <c r="N46" i="3" s="1"/>
  <c r="N47" i="3" s="1"/>
  <c r="D44" i="3"/>
  <c r="N44" i="3" s="1"/>
  <c r="N45" i="3" s="1"/>
  <c r="C45" i="3"/>
  <c r="C44" i="3"/>
  <c r="M44" i="3" s="1"/>
  <c r="M45" i="3" s="1"/>
  <c r="F42" i="3"/>
  <c r="F41" i="3"/>
  <c r="E42" i="3"/>
  <c r="K48" i="3" s="1"/>
  <c r="K49" i="3" s="1"/>
  <c r="E41" i="3"/>
  <c r="K46" i="3" s="1"/>
  <c r="K47" i="3" s="1"/>
  <c r="E40" i="3"/>
  <c r="K44" i="3" s="1"/>
  <c r="K45" i="3" s="1"/>
  <c r="D42" i="3"/>
  <c r="J48" i="3" s="1"/>
  <c r="J49" i="3" s="1"/>
  <c r="D41" i="3"/>
  <c r="D40" i="3"/>
  <c r="C41" i="3"/>
  <c r="I46" i="3" s="1"/>
  <c r="I47" i="3" s="1"/>
  <c r="C40" i="3"/>
  <c r="I44" i="3" s="1"/>
  <c r="I45" i="3" s="1"/>
  <c r="C30" i="3"/>
  <c r="I30" i="3" s="1"/>
  <c r="D30" i="3"/>
  <c r="N42" i="3" s="1"/>
  <c r="E30" i="3"/>
  <c r="O42" i="3" s="1"/>
  <c r="F30" i="3"/>
  <c r="L42" i="3" s="1"/>
  <c r="L30" i="3" l="1"/>
  <c r="M42" i="3"/>
  <c r="K30" i="3"/>
  <c r="P42" i="3"/>
  <c r="J30" i="3"/>
  <c r="K11" i="5"/>
  <c r="L11" i="5"/>
  <c r="K13" i="5"/>
  <c r="L13" i="5"/>
  <c r="K15" i="5"/>
  <c r="L15" i="5"/>
  <c r="K17" i="5"/>
  <c r="L17" i="5"/>
  <c r="T22" i="5"/>
  <c r="T21" i="5"/>
  <c r="O21" i="5"/>
  <c r="O22" i="5" s="1"/>
  <c r="N22" i="5"/>
  <c r="T20" i="5"/>
  <c r="T19" i="5"/>
  <c r="O19" i="5"/>
  <c r="O20" i="5" s="1"/>
  <c r="N20" i="5"/>
  <c r="T18" i="5"/>
  <c r="T17" i="5"/>
  <c r="R17" i="5"/>
  <c r="R18" i="5" s="1"/>
  <c r="Q18" i="5"/>
  <c r="O17" i="5"/>
  <c r="O18" i="5" s="1"/>
  <c r="N18" i="5"/>
  <c r="T16" i="5"/>
  <c r="C16" i="5"/>
  <c r="B16" i="5"/>
  <c r="T15" i="5"/>
  <c r="R15" i="5"/>
  <c r="R16" i="5" s="1"/>
  <c r="Q16" i="5"/>
  <c r="O15" i="5"/>
  <c r="O16" i="5" s="1"/>
  <c r="N16" i="5"/>
  <c r="T14" i="5"/>
  <c r="T13" i="5"/>
  <c r="R13" i="5"/>
  <c r="R14" i="5" s="1"/>
  <c r="Q14" i="5"/>
  <c r="O13" i="5"/>
  <c r="O14" i="5" s="1"/>
  <c r="N14" i="5"/>
  <c r="T12" i="5"/>
  <c r="T11" i="5"/>
  <c r="R11" i="5"/>
  <c r="R12" i="5" s="1"/>
  <c r="Q12" i="5"/>
  <c r="O11" i="5"/>
  <c r="O12" i="5" s="1"/>
  <c r="N12" i="5"/>
  <c r="T10" i="5"/>
  <c r="H36" i="3" l="1"/>
  <c r="H38" i="3"/>
  <c r="H40" i="3"/>
  <c r="H34" i="3"/>
  <c r="AA5" i="3" l="1"/>
  <c r="Z5" i="3"/>
  <c r="Y5" i="3"/>
  <c r="X5" i="3"/>
  <c r="S5" i="3"/>
  <c r="R5" i="3"/>
  <c r="Q5" i="3"/>
  <c r="P5" i="3"/>
  <c r="J24" i="3"/>
  <c r="I24" i="3"/>
  <c r="H24" i="3"/>
  <c r="F24" i="3"/>
  <c r="E24" i="3"/>
  <c r="J23" i="3"/>
  <c r="I23" i="3"/>
  <c r="H23" i="3"/>
  <c r="F23" i="3"/>
  <c r="E23" i="3"/>
  <c r="D23" i="3"/>
  <c r="I22" i="3"/>
  <c r="H22" i="3"/>
  <c r="G22" i="3"/>
  <c r="E22" i="3"/>
  <c r="D22" i="3"/>
  <c r="C22" i="3"/>
  <c r="J20" i="3"/>
  <c r="I20" i="3"/>
  <c r="H20" i="3"/>
  <c r="G20" i="3"/>
  <c r="F20" i="3"/>
  <c r="E20" i="3"/>
  <c r="D20" i="3"/>
  <c r="J19" i="3"/>
  <c r="I19" i="3"/>
  <c r="H19" i="3"/>
  <c r="G19" i="3"/>
  <c r="F19" i="3"/>
  <c r="E19" i="3"/>
  <c r="D19" i="3"/>
  <c r="C19" i="3"/>
  <c r="I18" i="3"/>
  <c r="H18" i="3"/>
  <c r="G18" i="3"/>
  <c r="E18" i="3"/>
  <c r="D18" i="3"/>
  <c r="C18" i="3"/>
  <c r="J16" i="3"/>
  <c r="I16" i="3"/>
  <c r="H16" i="3"/>
  <c r="G16" i="3"/>
  <c r="F16" i="3"/>
  <c r="E16" i="3"/>
  <c r="D16" i="3"/>
  <c r="J15" i="3"/>
  <c r="I15" i="3"/>
  <c r="H15" i="3"/>
  <c r="G15" i="3"/>
  <c r="F15" i="3"/>
  <c r="E15" i="3"/>
  <c r="D15" i="3"/>
  <c r="C15" i="3"/>
  <c r="I14" i="3"/>
  <c r="H14" i="3"/>
  <c r="G14" i="3"/>
  <c r="E14" i="3"/>
  <c r="D14" i="3"/>
  <c r="C14" i="3"/>
  <c r="J12" i="3"/>
  <c r="I12" i="3"/>
  <c r="H12" i="3"/>
  <c r="G12" i="3"/>
  <c r="F12" i="3"/>
  <c r="E12" i="3"/>
  <c r="D12" i="3"/>
  <c r="C12" i="3"/>
  <c r="J11" i="3"/>
  <c r="I11" i="3"/>
  <c r="H11" i="3"/>
  <c r="G11" i="3"/>
  <c r="F11" i="3"/>
  <c r="E11" i="3"/>
  <c r="D11" i="3"/>
  <c r="C11" i="3"/>
  <c r="I10" i="3"/>
  <c r="H10" i="3"/>
  <c r="G10" i="3"/>
  <c r="E10" i="3"/>
  <c r="D10" i="3"/>
  <c r="C10" i="3"/>
  <c r="C6" i="3"/>
  <c r="D6" i="3"/>
  <c r="E6" i="3"/>
  <c r="G6" i="3"/>
  <c r="H6" i="3"/>
  <c r="I6" i="3"/>
  <c r="C7" i="3"/>
  <c r="D7" i="3"/>
  <c r="E7" i="3"/>
  <c r="F7" i="3"/>
  <c r="G7" i="3"/>
  <c r="H7" i="3"/>
  <c r="I7" i="3"/>
  <c r="J7" i="3"/>
  <c r="C8" i="3"/>
  <c r="D8" i="3"/>
  <c r="E8" i="3"/>
  <c r="F8" i="3"/>
  <c r="G8" i="3"/>
  <c r="H8" i="3"/>
  <c r="I8" i="3"/>
  <c r="J8" i="3"/>
  <c r="E33" i="3" l="1"/>
  <c r="K34" i="3" s="1"/>
  <c r="K35" i="3" s="1"/>
  <c r="L34" i="3"/>
  <c r="L35" i="3" s="1"/>
  <c r="F35" i="3"/>
  <c r="L38" i="3" s="1"/>
  <c r="L39" i="3" s="1"/>
  <c r="C36" i="3"/>
  <c r="I40" i="3" s="1"/>
  <c r="I41" i="3" s="1"/>
  <c r="C34" i="3"/>
  <c r="I36" i="3" s="1"/>
  <c r="I37" i="3" s="1"/>
  <c r="D36" i="3"/>
  <c r="J40" i="3" s="1"/>
  <c r="J41" i="3" s="1"/>
  <c r="D33" i="3"/>
  <c r="J34" i="3" s="1"/>
  <c r="J35" i="3" s="1"/>
  <c r="E35" i="3"/>
  <c r="K38" i="3" s="1"/>
  <c r="K39" i="3" s="1"/>
  <c r="C32" i="3"/>
  <c r="I32" i="3" s="1"/>
  <c r="I33" i="3" s="1"/>
  <c r="C33" i="3"/>
  <c r="I34" i="3" s="1"/>
  <c r="I35" i="3" s="1"/>
  <c r="D34" i="3"/>
  <c r="J36" i="3" s="1"/>
  <c r="J37" i="3" s="1"/>
  <c r="F34" i="3"/>
  <c r="L36" i="3" s="1"/>
  <c r="L37" i="3" s="1"/>
  <c r="C35" i="3"/>
  <c r="I38" i="3" s="1"/>
  <c r="I39" i="3" s="1"/>
  <c r="E36" i="3"/>
  <c r="K40" i="3" s="1"/>
  <c r="K41" i="3" s="1"/>
  <c r="E32" i="3"/>
  <c r="K32" i="3" s="1"/>
  <c r="K33" i="3" s="1"/>
  <c r="E34" i="3"/>
  <c r="K36" i="3" s="1"/>
  <c r="K37" i="3" s="1"/>
  <c r="D35" i="3"/>
  <c r="J38" i="3" s="1"/>
  <c r="J39" i="3" s="1"/>
  <c r="F32" i="3"/>
  <c r="L32" i="3" s="1"/>
  <c r="L33" i="3" s="1"/>
  <c r="D32" i="3"/>
  <c r="J32" i="3" s="1"/>
  <c r="J33" i="3" s="1"/>
  <c r="F36" i="3"/>
  <c r="L40" i="3" s="1"/>
  <c r="L41" i="3" s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D8" i="1"/>
  <c r="E8" i="1"/>
  <c r="C26" i="3" l="1"/>
  <c r="D26" i="3"/>
  <c r="E26" i="3"/>
  <c r="F26" i="3"/>
  <c r="G26" i="3"/>
  <c r="H26" i="3"/>
  <c r="I26" i="3"/>
  <c r="J26" i="3"/>
  <c r="G5" i="3"/>
  <c r="H5" i="3"/>
  <c r="I5" i="3"/>
  <c r="J5" i="3"/>
  <c r="L15" i="1" l="1"/>
  <c r="K15" i="1"/>
  <c r="K13" i="1"/>
  <c r="L13" i="1"/>
  <c r="K11" i="1"/>
  <c r="L11" i="1"/>
  <c r="K8" i="1"/>
  <c r="L8" i="1"/>
  <c r="B27" i="1"/>
  <c r="C27" i="1"/>
</calcChain>
</file>

<file path=xl/comments1.xml><?xml version="1.0" encoding="utf-8"?>
<comments xmlns="http://schemas.openxmlformats.org/spreadsheetml/2006/main">
  <authors>
    <author>Bill Poland</author>
  </authors>
  <commentList>
    <comment ref="F10" authorId="0" shapeId="0">
      <text>
        <r>
          <rPr>
            <sz val="9"/>
            <color indexed="81"/>
            <rFont val="Tahoma"/>
            <family val="2"/>
          </rPr>
          <t>Outlier removed</t>
        </r>
      </text>
    </comment>
    <comment ref="F18" authorId="0" shapeId="0">
      <text>
        <r>
          <rPr>
            <sz val="9"/>
            <color indexed="81"/>
            <rFont val="Tahoma"/>
            <family val="2"/>
          </rPr>
          <t>Outlier removed</t>
        </r>
      </text>
    </comment>
  </commentList>
</comments>
</file>

<file path=xl/sharedStrings.xml><?xml version="1.0" encoding="utf-8"?>
<sst xmlns="http://schemas.openxmlformats.org/spreadsheetml/2006/main" count="232" uniqueCount="86">
  <si>
    <t>55-59</t>
  </si>
  <si>
    <t>60-64</t>
  </si>
  <si>
    <t>65-69</t>
  </si>
  <si>
    <t>70-74</t>
  </si>
  <si>
    <t>75-79</t>
  </si>
  <si>
    <t>80-84</t>
  </si>
  <si>
    <t>85+</t>
  </si>
  <si>
    <t>Men</t>
  </si>
  <si>
    <t>Women</t>
  </si>
  <si>
    <t>&lt;10</t>
  </si>
  <si>
    <t>10-19</t>
  </si>
  <si>
    <t>20-39</t>
  </si>
  <si>
    <t>40+</t>
  </si>
  <si>
    <t>&lt;30</t>
  </si>
  <si>
    <t>30-39</t>
  </si>
  <si>
    <t>40-49</t>
  </si>
  <si>
    <t>50+</t>
  </si>
  <si>
    <t>&lt;40</t>
  </si>
  <si>
    <t>50-59</t>
  </si>
  <si>
    <t>60-69</t>
  </si>
  <si>
    <t>70+</t>
  </si>
  <si>
    <t>Age quit (≥2y before survey date)</t>
  </si>
  <si>
    <t>&lt;2</t>
  </si>
  <si>
    <t>2-4</t>
  </si>
  <si>
    <t>5-9</t>
  </si>
  <si>
    <t>20-29</t>
  </si>
  <si>
    <t>RR--Former Smokers</t>
  </si>
  <si>
    <t>Never-Smoker</t>
  </si>
  <si>
    <t>Current Smoker</t>
  </si>
  <si>
    <t>Proportions (Thun 2013 Table 1)</t>
  </si>
  <si>
    <t>All-Cause Mortality Relative Risks (vs Never-Smokers) from Thun 2013 Supplement</t>
  </si>
  <si>
    <t>Mean Smoking Duration (Thun 2013 Table 1, by 10-year groups)</t>
  </si>
  <si>
    <t>http://www.nejm.org/doi/suppl/10.1056/NEJMsa1211127/suppl_file/nejmsa1211127_appendix.pdf</t>
  </si>
  <si>
    <t>Paper:</t>
  </si>
  <si>
    <t>http://www.nejm.org/doi/pdf/10.1056/NEJMsa1211127</t>
  </si>
  <si>
    <t>Supplement:</t>
  </si>
  <si>
    <t>Age</t>
  </si>
  <si>
    <t>Smoking Duration (y)</t>
  </si>
  <si>
    <t>–</t>
  </si>
  <si>
    <t>70-79</t>
  </si>
  <si>
    <t>21-39</t>
  </si>
  <si>
    <t>41+</t>
  </si>
  <si>
    <t>1-19</t>
  </si>
  <si>
    <t>20</t>
  </si>
  <si>
    <t>40</t>
  </si>
  <si>
    <t>CPD</t>
  </si>
  <si>
    <t>Years Smoking</t>
  </si>
  <si>
    <t>All</t>
  </si>
  <si>
    <t>From Thun 2013 Table S2.</t>
  </si>
  <si>
    <t>Relative Risk</t>
  </si>
  <si>
    <t>Appendices 16-17, pp. 432-433</t>
  </si>
  <si>
    <t>Quitting</t>
  </si>
  <si>
    <t>Years since</t>
  </si>
  <si>
    <t>Mortality Rates/100,000</t>
  </si>
  <si>
    <t>Rate Differences</t>
  </si>
  <si>
    <t>Relative risk by gender, age, years smoking, and cigarettes per day</t>
  </si>
  <si>
    <t>Mortality Rate per 100,000 and Relative Risk (5 contemporary cohorts, 2000-2010)</t>
  </si>
  <si>
    <t>3.1-4.4</t>
  </si>
  <si>
    <t>3.1-3.7</t>
  </si>
  <si>
    <t>3.3-3.7</t>
  </si>
  <si>
    <t>3.1-3.4</t>
  </si>
  <si>
    <t>2.5-2.8</t>
  </si>
  <si>
    <t>2.1-2.6</t>
  </si>
  <si>
    <t>1.4-2.2</t>
  </si>
  <si>
    <t>2.2-3.1</t>
  </si>
  <si>
    <t>2.7-3.2</t>
  </si>
  <si>
    <t>2.9-3.3</t>
  </si>
  <si>
    <t>2.9-3.2</t>
  </si>
  <si>
    <t>2.1-2.5</t>
  </si>
  <si>
    <t>1.7-2.3</t>
  </si>
  <si>
    <t>Relative Risk 95% CI</t>
  </si>
  <si>
    <t>Mean RR</t>
  </si>
  <si>
    <t>Relative risk by cigarettes per day (cpd)</t>
  </si>
  <si>
    <t>From Thun 2013 Table S3.</t>
  </si>
  <si>
    <t>1-4</t>
  </si>
  <si>
    <t>10-14</t>
  </si>
  <si>
    <t>15-19</t>
  </si>
  <si>
    <t>20-24</t>
  </si>
  <si>
    <t>25+</t>
  </si>
  <si>
    <t>cf. Bjartveit &amp; Tverdal 2005, Table 3</t>
  </si>
  <si>
    <t>Derived: average(men, women, 50-59, 60-69, 70-79)</t>
  </si>
  <si>
    <t>For plot:</t>
  </si>
  <si>
    <t>Ln Model</t>
  </si>
  <si>
    <t>Mortality Relative Risks (vs Never-Smokers) by CPD</t>
  </si>
  <si>
    <t>Average(50-59, 60-69, 70-79)</t>
  </si>
  <si>
    <t>Lung cancer only (pp. 436-7; see also 422-5, 434-441)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</si>
</sst>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1" x14ac:knownFonts="1">
    <font>
      <sz val="10"/>
      <color theme="1"/>
      <name val="Arial"/>
      <family val="2"/>
    </font>
    <font>
      <sz val="14"/>
      <color theme="1"/>
      <name val="Arial"/>
      <family val="2"/>
    </font>
    <font>
      <i/>
      <sz val="10"/>
      <color theme="1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u/>
      <sz val="10"/>
      <color theme="1"/>
      <name val="Arial"/>
      <family val="2"/>
    </font>
    <font>
      <sz val="7"/>
      <color theme="1"/>
      <name val="Arial"/>
      <family val="2"/>
    </font>
    <font>
      <sz val="10"/>
      <color rgb="FF3F3F76"/>
      <name val="Arial"/>
      <family val="2"/>
    </font>
    <font>
      <sz val="10"/>
      <color rgb="FFFF0000"/>
      <name val="Arial"/>
      <family val="2"/>
    </font>
    <font>
      <sz val="10"/>
      <color theme="0" tint="-0.499984740745262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7" fillId="2" borderId="10" applyNumberFormat="0" applyAlignment="0" applyProtection="0"/>
  </cellStyleXfs>
  <cellXfs count="82">
    <xf numFmtId="0" fontId="0" fillId="0" borderId="0" xfId="0"/>
    <xf numFmtId="0" fontId="0" fillId="0" borderId="0" xfId="0" quotePrefix="1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0" fillId="0" borderId="0" xfId="0" applyFont="1"/>
    <xf numFmtId="0" fontId="3" fillId="0" borderId="0" xfId="1"/>
    <xf numFmtId="0" fontId="4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>
      <alignment horizontal="right"/>
    </xf>
    <xf numFmtId="16" fontId="0" fillId="0" borderId="0" xfId="0" quotePrefix="1" applyNumberFormat="1"/>
    <xf numFmtId="0" fontId="0" fillId="0" borderId="0" xfId="0" quotePrefix="1" applyNumberFormat="1"/>
    <xf numFmtId="0" fontId="0" fillId="0" borderId="2" xfId="0" applyBorder="1"/>
    <xf numFmtId="0" fontId="0" fillId="0" borderId="0" xfId="0" applyBorder="1"/>
    <xf numFmtId="165" fontId="0" fillId="0" borderId="0" xfId="0" applyNumberFormat="1"/>
    <xf numFmtId="0" fontId="0" fillId="0" borderId="0" xfId="0" applyAlignment="1">
      <alignment horizontal="centerContinuous"/>
    </xf>
    <xf numFmtId="0" fontId="0" fillId="0" borderId="0" xfId="0" applyFont="1" applyAlignment="1">
      <alignment horizontal="centerContinuous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Continuous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Continuous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0" borderId="0" xfId="0" applyNumberFormat="1"/>
    <xf numFmtId="0" fontId="0" fillId="0" borderId="2" xfId="0" applyNumberFormat="1" applyBorder="1"/>
    <xf numFmtId="0" fontId="0" fillId="0" borderId="8" xfId="0" applyNumberFormat="1" applyBorder="1"/>
    <xf numFmtId="0" fontId="0" fillId="0" borderId="3" xfId="0" applyNumberFormat="1" applyBorder="1"/>
    <xf numFmtId="0" fontId="0" fillId="0" borderId="4" xfId="0" applyNumberFormat="1" applyBorder="1"/>
    <xf numFmtId="0" fontId="0" fillId="0" borderId="0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9" xfId="0" applyNumberFormat="1" applyBorder="1"/>
    <xf numFmtId="0" fontId="0" fillId="0" borderId="7" xfId="0" applyNumberFormat="1" applyBorder="1"/>
    <xf numFmtId="0" fontId="0" fillId="0" borderId="7" xfId="0" applyBorder="1" applyAlignment="1">
      <alignment horizontal="centerContinuous"/>
    </xf>
    <xf numFmtId="0" fontId="0" fillId="0" borderId="5" xfId="0" applyBorder="1" applyAlignment="1">
      <alignment horizontal="centerContinuous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2" fontId="0" fillId="0" borderId="0" xfId="0" applyNumberFormat="1"/>
    <xf numFmtId="0" fontId="6" fillId="0" borderId="0" xfId="0" applyFont="1"/>
    <xf numFmtId="2" fontId="0" fillId="0" borderId="0" xfId="0" quotePrefix="1" applyNumberFormat="1"/>
    <xf numFmtId="2" fontId="0" fillId="0" borderId="4" xfId="0" applyNumberFormat="1" applyBorder="1"/>
    <xf numFmtId="2" fontId="0" fillId="0" borderId="5" xfId="0" applyNumberFormat="1" applyBorder="1"/>
    <xf numFmtId="0" fontId="7" fillId="2" borderId="10" xfId="2"/>
    <xf numFmtId="0" fontId="0" fillId="0" borderId="0" xfId="0" applyAlignment="1"/>
    <xf numFmtId="0" fontId="5" fillId="0" borderId="0" xfId="0" applyFont="1" applyAlignment="1">
      <alignment horizontal="center"/>
    </xf>
    <xf numFmtId="0" fontId="0" fillId="0" borderId="8" xfId="0" applyBorder="1"/>
    <xf numFmtId="0" fontId="0" fillId="0" borderId="9" xfId="0" applyBorder="1"/>
    <xf numFmtId="165" fontId="0" fillId="0" borderId="2" xfId="0" applyNumberFormat="1" applyBorder="1"/>
    <xf numFmtId="165" fontId="0" fillId="0" borderId="8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165" fontId="0" fillId="0" borderId="0" xfId="0" applyNumberFormat="1" applyBorder="1"/>
    <xf numFmtId="165" fontId="0" fillId="0" borderId="5" xfId="0" applyNumberFormat="1" applyBorder="1"/>
    <xf numFmtId="165" fontId="0" fillId="0" borderId="6" xfId="0" applyNumberFormat="1" applyBorder="1"/>
    <xf numFmtId="165" fontId="0" fillId="0" borderId="9" xfId="0" applyNumberFormat="1" applyBorder="1"/>
    <xf numFmtId="165" fontId="0" fillId="0" borderId="7" xfId="0" applyNumberFormat="1" applyBorder="1"/>
    <xf numFmtId="0" fontId="9" fillId="0" borderId="0" xfId="0" applyFont="1"/>
    <xf numFmtId="165" fontId="8" fillId="0" borderId="1" xfId="0" applyNumberFormat="1" applyFont="1" applyBorder="1" applyAlignment="1">
      <alignment horizontal="center"/>
    </xf>
  </cellXfs>
  <cellStyles count="3">
    <cellStyle name="Hyperlink" xfId="1" builtinId="8"/>
    <cellStyle name="Input" xfId="2" builtinId="20"/>
    <cellStyle name="Normal" xfId="0" builtinId="0"/>
  </cellStyles>
  <dxfs count="0"/>
  <tableStyles count="0" defaultTableStyle="TableStyleMedium2" defaultPivotStyle="PivotStyleLight16"/>
  <colors>
    <mruColors>
      <color rgb="FFCC0099"/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Thun2013!$F$8</c:f>
              <c:strCache>
                <c:ptCount val="1"/>
                <c:pt idx="0">
                  <c:v>Men</c:v>
                </c:pt>
              </c:strCache>
            </c:strRef>
          </c:tx>
          <c:cat>
            <c:strRef>
              <c:f>Thun2013!$A$9:$A$15</c:f>
              <c:strCache>
                <c:ptCount val="7"/>
                <c:pt idx="0">
                  <c:v>55-59</c:v>
                </c:pt>
                <c:pt idx="1">
                  <c:v>60-64</c:v>
                </c:pt>
                <c:pt idx="2">
                  <c:v>65-69</c:v>
                </c:pt>
                <c:pt idx="3">
                  <c:v>70-74</c:v>
                </c:pt>
                <c:pt idx="4">
                  <c:v>75-79</c:v>
                </c:pt>
                <c:pt idx="5">
                  <c:v>80-84</c:v>
                </c:pt>
                <c:pt idx="6">
                  <c:v>85+</c:v>
                </c:pt>
              </c:strCache>
            </c:strRef>
          </c:cat>
          <c:val>
            <c:numRef>
              <c:f>Thun2013!$F$9:$F$15</c:f>
              <c:numCache>
                <c:formatCode>0.0</c:formatCode>
                <c:ptCount val="7"/>
                <c:pt idx="0">
                  <c:v>3.6856187290969902</c:v>
                </c:pt>
                <c:pt idx="1">
                  <c:v>3.3867924528301887</c:v>
                </c:pt>
                <c:pt idx="2">
                  <c:v>3.486682808716707</c:v>
                </c:pt>
                <c:pt idx="3">
                  <c:v>3.2625368731563422</c:v>
                </c:pt>
                <c:pt idx="4">
                  <c:v>2.6164442531209642</c:v>
                </c:pt>
                <c:pt idx="5">
                  <c:v>2.3682027649769584</c:v>
                </c:pt>
                <c:pt idx="6">
                  <c:v>1.7770385858201863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A4-42C7-9A8F-95ADBDBDD7C2}"/>
            </c:ext>
          </c:extLst>
        </c:ser>
        <c:ser>
          <c:idx val="1"/>
          <c:order val="1"/>
          <c:tx>
            <c:strRef>
              <c:f>Thun2013!$G$8</c:f>
              <c:strCache>
                <c:ptCount val="1"/>
                <c:pt idx="0">
                  <c:v>Women</c:v>
                </c:pt>
              </c:strCache>
            </c:strRef>
          </c:tx>
          <c:cat>
            <c:strRef>
              <c:f>Thun2013!$A$9:$A$15</c:f>
              <c:strCache>
                <c:ptCount val="7"/>
                <c:pt idx="0">
                  <c:v>55-59</c:v>
                </c:pt>
                <c:pt idx="1">
                  <c:v>60-64</c:v>
                </c:pt>
                <c:pt idx="2">
                  <c:v>65-69</c:v>
                </c:pt>
                <c:pt idx="3">
                  <c:v>70-74</c:v>
                </c:pt>
                <c:pt idx="4">
                  <c:v>75-79</c:v>
                </c:pt>
                <c:pt idx="5">
                  <c:v>80-84</c:v>
                </c:pt>
                <c:pt idx="6">
                  <c:v>85+</c:v>
                </c:pt>
              </c:strCache>
            </c:strRef>
          </c:cat>
          <c:val>
            <c:numRef>
              <c:f>Thun2013!$G$9:$G$15</c:f>
              <c:numCache>
                <c:formatCode>0.0</c:formatCode>
                <c:ptCount val="7"/>
                <c:pt idx="0">
                  <c:v>2.6603773584905661</c:v>
                </c:pt>
                <c:pt idx="1">
                  <c:v>2.9612188365650969</c:v>
                </c:pt>
                <c:pt idx="2">
                  <c:v>3.1178509532062391</c:v>
                </c:pt>
                <c:pt idx="3">
                  <c:v>3.0547645125958378</c:v>
                </c:pt>
                <c:pt idx="4">
                  <c:v>2.6539948453608249</c:v>
                </c:pt>
                <c:pt idx="5">
                  <c:v>2.2842866988283941</c:v>
                </c:pt>
                <c:pt idx="6">
                  <c:v>1.941026458399745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A4-42C7-9A8F-95ADBDBDD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054336"/>
        <c:axId val="849056128"/>
      </c:lineChart>
      <c:catAx>
        <c:axId val="849054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49056128"/>
        <c:crosses val="autoZero"/>
        <c:auto val="1"/>
        <c:lblAlgn val="ctr"/>
        <c:lblOffset val="100"/>
        <c:noMultiLvlLbl val="0"/>
      </c:catAx>
      <c:valAx>
        <c:axId val="84905612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849054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Thun2013!$B$21</c:f>
              <c:strCache>
                <c:ptCount val="1"/>
                <c:pt idx="0">
                  <c:v>Men</c:v>
                </c:pt>
              </c:strCache>
            </c:strRef>
          </c:tx>
          <c:cat>
            <c:strRef>
              <c:f>Thun2013!$A$22:$A$25</c:f>
              <c:strCache>
                <c:ptCount val="4"/>
                <c:pt idx="0">
                  <c:v>&lt;10</c:v>
                </c:pt>
                <c:pt idx="1">
                  <c:v>10-19</c:v>
                </c:pt>
                <c:pt idx="2">
                  <c:v>20-39</c:v>
                </c:pt>
                <c:pt idx="3">
                  <c:v>40+</c:v>
                </c:pt>
              </c:strCache>
            </c:strRef>
          </c:cat>
          <c:val>
            <c:numRef>
              <c:f>Thun2013!$B$22:$B$25</c:f>
              <c:numCache>
                <c:formatCode>0.00</c:formatCode>
                <c:ptCount val="4"/>
                <c:pt idx="0" formatCode="General">
                  <c:v>2.21</c:v>
                </c:pt>
                <c:pt idx="1">
                  <c:v>2.6</c:v>
                </c:pt>
                <c:pt idx="2" formatCode="General">
                  <c:v>3.33</c:v>
                </c:pt>
                <c:pt idx="3" formatCode="General">
                  <c:v>4.08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3F-4B80-BFA1-FAFB43392AC5}"/>
            </c:ext>
          </c:extLst>
        </c:ser>
        <c:ser>
          <c:idx val="1"/>
          <c:order val="1"/>
          <c:tx>
            <c:strRef>
              <c:f>Thun2013!$C$21</c:f>
              <c:strCache>
                <c:ptCount val="1"/>
                <c:pt idx="0">
                  <c:v>Women</c:v>
                </c:pt>
              </c:strCache>
            </c:strRef>
          </c:tx>
          <c:cat>
            <c:strRef>
              <c:f>Thun2013!$A$22:$A$25</c:f>
              <c:strCache>
                <c:ptCount val="4"/>
                <c:pt idx="0">
                  <c:v>&lt;10</c:v>
                </c:pt>
                <c:pt idx="1">
                  <c:v>10-19</c:v>
                </c:pt>
                <c:pt idx="2">
                  <c:v>20-39</c:v>
                </c:pt>
                <c:pt idx="3">
                  <c:v>40+</c:v>
                </c:pt>
              </c:strCache>
            </c:strRef>
          </c:cat>
          <c:val>
            <c:numRef>
              <c:f>Thun2013!$C$22:$C$25</c:f>
              <c:numCache>
                <c:formatCode>General</c:formatCode>
                <c:ptCount val="4"/>
                <c:pt idx="0">
                  <c:v>2.27</c:v>
                </c:pt>
                <c:pt idx="1">
                  <c:v>2.69</c:v>
                </c:pt>
                <c:pt idx="2">
                  <c:v>3.48</c:v>
                </c:pt>
                <c:pt idx="3">
                  <c:v>4.41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3F-4B80-BFA1-FAFB43392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067712"/>
        <c:axId val="858069248"/>
      </c:lineChart>
      <c:catAx>
        <c:axId val="858067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58069248"/>
        <c:crosses val="autoZero"/>
        <c:auto val="1"/>
        <c:lblAlgn val="ctr"/>
        <c:lblOffset val="100"/>
        <c:noMultiLvlLbl val="0"/>
      </c:catAx>
      <c:valAx>
        <c:axId val="858069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8067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Thun2013!$H$21</c:f>
              <c:strCache>
                <c:ptCount val="1"/>
                <c:pt idx="0">
                  <c:v>Men</c:v>
                </c:pt>
              </c:strCache>
            </c:strRef>
          </c:tx>
          <c:cat>
            <c:strRef>
              <c:f>Thun2013!$G$22:$G$27</c:f>
              <c:strCache>
                <c:ptCount val="6"/>
                <c:pt idx="0">
                  <c:v>1-4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25+</c:v>
                </c:pt>
              </c:strCache>
            </c:strRef>
          </c:cat>
          <c:val>
            <c:numRef>
              <c:f>Thun2013!$H$22:$H$27</c:f>
              <c:numCache>
                <c:formatCode>General</c:formatCode>
                <c:ptCount val="6"/>
                <c:pt idx="0">
                  <c:v>1.57</c:v>
                </c:pt>
                <c:pt idx="1">
                  <c:v>1.94</c:v>
                </c:pt>
                <c:pt idx="2">
                  <c:v>2.36</c:v>
                </c:pt>
                <c:pt idx="3">
                  <c:v>2.66</c:v>
                </c:pt>
                <c:pt idx="4">
                  <c:v>3.19</c:v>
                </c:pt>
                <c:pt idx="5">
                  <c:v>3.42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A2-4758-AF76-7635108EDE0A}"/>
            </c:ext>
          </c:extLst>
        </c:ser>
        <c:ser>
          <c:idx val="1"/>
          <c:order val="1"/>
          <c:tx>
            <c:strRef>
              <c:f>Thun2013!$I$21</c:f>
              <c:strCache>
                <c:ptCount val="1"/>
                <c:pt idx="0">
                  <c:v>Women</c:v>
                </c:pt>
              </c:strCache>
            </c:strRef>
          </c:tx>
          <c:cat>
            <c:strRef>
              <c:f>Thun2013!$G$22:$G$27</c:f>
              <c:strCache>
                <c:ptCount val="6"/>
                <c:pt idx="0">
                  <c:v>1-4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25+</c:v>
                </c:pt>
              </c:strCache>
            </c:strRef>
          </c:cat>
          <c:val>
            <c:numRef>
              <c:f>Thun2013!$I$22:$I$27</c:f>
              <c:numCache>
                <c:formatCode>General</c:formatCode>
                <c:ptCount val="6"/>
                <c:pt idx="0">
                  <c:v>1.47</c:v>
                </c:pt>
                <c:pt idx="1">
                  <c:v>1.9</c:v>
                </c:pt>
                <c:pt idx="2">
                  <c:v>2.29</c:v>
                </c:pt>
                <c:pt idx="3">
                  <c:v>2.97</c:v>
                </c:pt>
                <c:pt idx="4">
                  <c:v>3.14</c:v>
                </c:pt>
                <c:pt idx="5">
                  <c:v>2.61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A2-4758-AF76-7635108ED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090112"/>
        <c:axId val="858100096"/>
      </c:lineChart>
      <c:catAx>
        <c:axId val="85809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58100096"/>
        <c:crosses val="autoZero"/>
        <c:auto val="1"/>
        <c:lblAlgn val="ctr"/>
        <c:lblOffset val="100"/>
        <c:noMultiLvlLbl val="0"/>
      </c:catAx>
      <c:valAx>
        <c:axId val="858100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8090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Thun1997!$A$6:$B$6</c:f>
              <c:strCache>
                <c:ptCount val="2"/>
                <c:pt idx="0">
                  <c:v>1-19</c:v>
                </c:pt>
                <c:pt idx="1">
                  <c:v>50-59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Thun1997!$C$6:$F$6</c:f>
              <c:numCache>
                <c:formatCode>0.0</c:formatCode>
                <c:ptCount val="4"/>
                <c:pt idx="0">
                  <c:v>1.9915511997296385</c:v>
                </c:pt>
                <c:pt idx="1">
                  <c:v>2.9814126394052036</c:v>
                </c:pt>
                <c:pt idx="2">
                  <c:v>3.2872592091922939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A8-4513-87C0-F67DAD633280}"/>
            </c:ext>
          </c:extLst>
        </c:ser>
        <c:ser>
          <c:idx val="1"/>
          <c:order val="1"/>
          <c:tx>
            <c:strRef>
              <c:f>Thun1997!$A$7:$B$7</c:f>
              <c:strCache>
                <c:ptCount val="2"/>
                <c:pt idx="0">
                  <c:v>1-19</c:v>
                </c:pt>
                <c:pt idx="1">
                  <c:v>60-69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Thun1997!$C$7:$F$7</c:f>
              <c:numCache>
                <c:formatCode>0.0</c:formatCode>
                <c:ptCount val="4"/>
                <c:pt idx="0">
                  <c:v>1.6213939533810293</c:v>
                </c:pt>
                <c:pt idx="1">
                  <c:v>1.8504500346180477</c:v>
                </c:pt>
                <c:pt idx="2">
                  <c:v>2.2469420724671125</c:v>
                </c:pt>
                <c:pt idx="3">
                  <c:v>3.2138241403184864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A8-4513-87C0-F67DAD633280}"/>
            </c:ext>
          </c:extLst>
        </c:ser>
        <c:ser>
          <c:idx val="2"/>
          <c:order val="2"/>
          <c:tx>
            <c:strRef>
              <c:f>Thun1997!$A$8:$B$8</c:f>
              <c:strCache>
                <c:ptCount val="2"/>
                <c:pt idx="0">
                  <c:v>1-19</c:v>
                </c:pt>
                <c:pt idx="1">
                  <c:v>70-79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Thun1997!$C$8:$F$8</c:f>
              <c:numCache>
                <c:formatCode>0.0</c:formatCode>
                <c:ptCount val="4"/>
                <c:pt idx="0">
                  <c:v>1.2188454868279792</c:v>
                </c:pt>
                <c:pt idx="1">
                  <c:v>1.6812701296556281</c:v>
                </c:pt>
                <c:pt idx="2">
                  <c:v>1.7069947972582376</c:v>
                </c:pt>
                <c:pt idx="3">
                  <c:v>2.2761582294161369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A8-4513-87C0-F67DAD633280}"/>
            </c:ext>
          </c:extLst>
        </c:ser>
        <c:ser>
          <c:idx val="3"/>
          <c:order val="3"/>
          <c:tx>
            <c:strRef>
              <c:f>Thun1997!$A$10:$B$10</c:f>
              <c:strCache>
                <c:ptCount val="2"/>
                <c:pt idx="0">
                  <c:v>20</c:v>
                </c:pt>
                <c:pt idx="1">
                  <c:v>50-59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diamond"/>
            <c:size val="5"/>
            <c:spPr>
              <a:noFill/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Thun1997!$C$10:$F$10</c:f>
              <c:numCache>
                <c:formatCode>0.0</c:formatCode>
                <c:ptCount val="4"/>
                <c:pt idx="0">
                  <c:v>2.0243325447786416</c:v>
                </c:pt>
                <c:pt idx="1">
                  <c:v>2.8793511321392367</c:v>
                </c:pt>
                <c:pt idx="2">
                  <c:v>4.7593781683001035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A8-4513-87C0-F67DAD633280}"/>
            </c:ext>
          </c:extLst>
        </c:ser>
        <c:ser>
          <c:idx val="4"/>
          <c:order val="4"/>
          <c:tx>
            <c:strRef>
              <c:f>Thun1997!$A$11:$B$11</c:f>
              <c:strCache>
                <c:ptCount val="2"/>
                <c:pt idx="0">
                  <c:v>20</c:v>
                </c:pt>
                <c:pt idx="1">
                  <c:v>60-69</c:v>
                </c:pt>
              </c:strCache>
            </c:strRef>
          </c:tx>
          <c:spPr>
            <a:ln w="19050">
              <a:solidFill>
                <a:srgbClr val="C00000"/>
              </a:solidFill>
            </a:ln>
          </c:spPr>
          <c:marker>
            <c:symbol val="square"/>
            <c:size val="5"/>
            <c:spPr>
              <a:noFill/>
              <a:ln>
                <a:solidFill>
                  <a:srgbClr val="C00000"/>
                </a:solidFill>
              </a:ln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Thun1997!$C$11:$F$11</c:f>
              <c:numCache>
                <c:formatCode>0.0</c:formatCode>
                <c:ptCount val="4"/>
                <c:pt idx="0">
                  <c:v>1.9380336948996075</c:v>
                </c:pt>
                <c:pt idx="1">
                  <c:v>1.821601661666282</c:v>
                </c:pt>
                <c:pt idx="2">
                  <c:v>2.7971382414031853</c:v>
                </c:pt>
                <c:pt idx="3">
                  <c:v>4.259173782598662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A8-4513-87C0-F67DAD633280}"/>
            </c:ext>
          </c:extLst>
        </c:ser>
        <c:ser>
          <c:idx val="5"/>
          <c:order val="5"/>
          <c:tx>
            <c:strRef>
              <c:f>Thun1997!$A$12:$B$12</c:f>
              <c:strCache>
                <c:ptCount val="2"/>
                <c:pt idx="0">
                  <c:v>20</c:v>
                </c:pt>
                <c:pt idx="1">
                  <c:v>70-79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triangle"/>
            <c:size val="5"/>
            <c:spPr>
              <a:noFill/>
              <a:ln>
                <a:solidFill>
                  <a:srgbClr val="00B050"/>
                </a:solidFill>
              </a:ln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Thun1997!$C$12:$F$12</c:f>
              <c:numCache>
                <c:formatCode>0.0</c:formatCode>
                <c:ptCount val="4"/>
                <c:pt idx="0">
                  <c:v>2.1574448757122804</c:v>
                </c:pt>
                <c:pt idx="1">
                  <c:v>1.3154678338425965</c:v>
                </c:pt>
                <c:pt idx="2">
                  <c:v>1.9239408704269552</c:v>
                </c:pt>
                <c:pt idx="3">
                  <c:v>2.5367495251465848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A8-4513-87C0-F67DAD633280}"/>
            </c:ext>
          </c:extLst>
        </c:ser>
        <c:ser>
          <c:idx val="6"/>
          <c:order val="6"/>
          <c:tx>
            <c:strRef>
              <c:f>Thun1997!$A$14:$B$14</c:f>
              <c:strCache>
                <c:ptCount val="2"/>
                <c:pt idx="0">
                  <c:v>21-39</c:v>
                </c:pt>
                <c:pt idx="1">
                  <c:v>50-59</c:v>
                </c:pt>
              </c:strCache>
            </c:strRef>
          </c:tx>
          <c:spPr>
            <a:ln w="25400">
              <a:solidFill>
                <a:srgbClr val="0070C0"/>
              </a:solidFill>
            </a:ln>
          </c:spPr>
          <c:marker>
            <c:symbol val="diamond"/>
            <c:size val="7"/>
            <c:spPr>
              <a:noFill/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Thun1997!$C$14:$F$14</c:f>
              <c:numCache>
                <c:formatCode>0.0</c:formatCode>
                <c:ptCount val="4"/>
                <c:pt idx="0">
                  <c:v>2.083812098681987</c:v>
                </c:pt>
                <c:pt idx="1">
                  <c:v>2.6525853328827309</c:v>
                </c:pt>
                <c:pt idx="2">
                  <c:v>4.2875971612031076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BA8-4513-87C0-F67DAD633280}"/>
            </c:ext>
          </c:extLst>
        </c:ser>
        <c:ser>
          <c:idx val="7"/>
          <c:order val="7"/>
          <c:tx>
            <c:strRef>
              <c:f>Thun1997!$A$15:$B$15</c:f>
              <c:strCache>
                <c:ptCount val="2"/>
                <c:pt idx="0">
                  <c:v>21-39</c:v>
                </c:pt>
                <c:pt idx="1">
                  <c:v>60-69</c:v>
                </c:pt>
              </c:strCache>
            </c:strRef>
          </c:tx>
          <c:spPr>
            <a:ln w="25400">
              <a:solidFill>
                <a:srgbClr val="C0000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Thun1997!$C$15:$F$15</c:f>
              <c:numCache>
                <c:formatCode>0.0</c:formatCode>
                <c:ptCount val="4"/>
                <c:pt idx="0">
                  <c:v>2.0091160858527579</c:v>
                </c:pt>
                <c:pt idx="1">
                  <c:v>1.6842834064158783</c:v>
                </c:pt>
                <c:pt idx="2">
                  <c:v>2.6037387491345485</c:v>
                </c:pt>
                <c:pt idx="3">
                  <c:v>4.3736441264712669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BA8-4513-87C0-F67DAD633280}"/>
            </c:ext>
          </c:extLst>
        </c:ser>
        <c:ser>
          <c:idx val="8"/>
          <c:order val="8"/>
          <c:tx>
            <c:strRef>
              <c:f>Thun1997!$A$16:$B$16</c:f>
              <c:strCache>
                <c:ptCount val="2"/>
                <c:pt idx="0">
                  <c:v>21-39</c:v>
                </c:pt>
                <c:pt idx="1">
                  <c:v>70-79</c:v>
                </c:pt>
              </c:strCache>
            </c:strRef>
          </c:tx>
          <c:spPr>
            <a:ln w="25400">
              <a:solidFill>
                <a:srgbClr val="00B050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rgbClr val="00B050"/>
                </a:solidFill>
              </a:ln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Thun1997!$C$16:$F$16</c:f>
              <c:numCache>
                <c:formatCode>0.0</c:formatCode>
                <c:ptCount val="4"/>
                <c:pt idx="1">
                  <c:v>1.8265339829878602</c:v>
                </c:pt>
                <c:pt idx="2">
                  <c:v>1.8485836980758115</c:v>
                </c:pt>
                <c:pt idx="3">
                  <c:v>2.4778677017094726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BA8-4513-87C0-F67DAD633280}"/>
            </c:ext>
          </c:extLst>
        </c:ser>
        <c:ser>
          <c:idx val="9"/>
          <c:order val="9"/>
          <c:tx>
            <c:strRef>
              <c:f>Thun1997!$A$18:$B$18</c:f>
              <c:strCache>
                <c:ptCount val="2"/>
                <c:pt idx="0">
                  <c:v>40</c:v>
                </c:pt>
                <c:pt idx="1">
                  <c:v>50-59</c:v>
                </c:pt>
              </c:strCache>
            </c:strRef>
          </c:tx>
          <c:spPr>
            <a:ln w="31750">
              <a:solidFill>
                <a:srgbClr val="0070C0"/>
              </a:solidFill>
            </a:ln>
          </c:spPr>
          <c:marker>
            <c:symbol val="diamond"/>
            <c:size val="9"/>
            <c:spPr>
              <a:noFill/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Thun1997!$C$18:$F$18</c:f>
              <c:numCache>
                <c:formatCode>0.0</c:formatCode>
                <c:ptCount val="4"/>
                <c:pt idx="0">
                  <c:v>2.4981412639405205</c:v>
                </c:pt>
                <c:pt idx="1">
                  <c:v>3.2467049678945581</c:v>
                </c:pt>
                <c:pt idx="2">
                  <c:v>4.7789793849273421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BA8-4513-87C0-F67DAD633280}"/>
            </c:ext>
          </c:extLst>
        </c:ser>
        <c:ser>
          <c:idx val="10"/>
          <c:order val="10"/>
          <c:tx>
            <c:strRef>
              <c:f>Thun1997!$A$19:$B$19</c:f>
              <c:strCache>
                <c:ptCount val="2"/>
                <c:pt idx="0">
                  <c:v>40</c:v>
                </c:pt>
                <c:pt idx="1">
                  <c:v>60-69</c:v>
                </c:pt>
              </c:strCache>
            </c:strRef>
          </c:tx>
          <c:spPr>
            <a:ln w="31750">
              <a:solidFill>
                <a:srgbClr val="C0000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rgbClr val="C00000"/>
                </a:solidFill>
              </a:ln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Thun1997!$C$19:$F$19</c:f>
              <c:numCache>
                <c:formatCode>0.0</c:formatCode>
                <c:ptCount val="4"/>
                <c:pt idx="0">
                  <c:v>0.90537733671820908</c:v>
                </c:pt>
                <c:pt idx="1">
                  <c:v>2.2133625663512579</c:v>
                </c:pt>
                <c:pt idx="2">
                  <c:v>2.9719593814908842</c:v>
                </c:pt>
                <c:pt idx="3">
                  <c:v>3.991576275098085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BA8-4513-87C0-F67DAD633280}"/>
            </c:ext>
          </c:extLst>
        </c:ser>
        <c:ser>
          <c:idx val="11"/>
          <c:order val="11"/>
          <c:tx>
            <c:strRef>
              <c:f>Thun1997!$A$20:$B$20</c:f>
              <c:strCache>
                <c:ptCount val="2"/>
                <c:pt idx="0">
                  <c:v>40</c:v>
                </c:pt>
                <c:pt idx="1">
                  <c:v>70-79</c:v>
                </c:pt>
              </c:strCache>
            </c:strRef>
          </c:tx>
          <c:spPr>
            <a:ln w="31750">
              <a:solidFill>
                <a:srgbClr val="00B050"/>
              </a:solidFill>
            </a:ln>
          </c:spPr>
          <c:marker>
            <c:spPr>
              <a:noFill/>
              <a:ln>
                <a:solidFill>
                  <a:srgbClr val="00B050"/>
                </a:solidFill>
              </a:ln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Thun1997!$C$20:$F$20</c:f>
              <c:numCache>
                <c:formatCode>0.0</c:formatCode>
                <c:ptCount val="4"/>
                <c:pt idx="1">
                  <c:v>1.4962424642827648</c:v>
                </c:pt>
                <c:pt idx="2">
                  <c:v>2.3902056321744158</c:v>
                </c:pt>
                <c:pt idx="3">
                  <c:v>2.6049632504748534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BA8-4513-87C0-F67DAD633280}"/>
            </c:ext>
          </c:extLst>
        </c:ser>
        <c:ser>
          <c:idx val="12"/>
          <c:order val="12"/>
          <c:tx>
            <c:strRef>
              <c:f>Thun1997!$A$22:$B$22</c:f>
              <c:strCache>
                <c:ptCount val="2"/>
                <c:pt idx="0">
                  <c:v>41+</c:v>
                </c:pt>
                <c:pt idx="1">
                  <c:v>50-59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diamond"/>
            <c:size val="11"/>
            <c:spPr>
              <a:noFill/>
              <a:ln>
                <a:solidFill>
                  <a:srgbClr val="0070C0"/>
                </a:solidFill>
              </a:ln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Thun1997!$C$22:$F$22</c:f>
              <c:numCache>
                <c:formatCode>0.0</c:formatCode>
                <c:ptCount val="4"/>
                <c:pt idx="0">
                  <c:v>2.4261574856370398</c:v>
                </c:pt>
                <c:pt idx="1">
                  <c:v>3.2382561676241965</c:v>
                </c:pt>
                <c:pt idx="2">
                  <c:v>5.8144643460628576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BA8-4513-87C0-F67DAD633280}"/>
            </c:ext>
          </c:extLst>
        </c:ser>
        <c:ser>
          <c:idx val="13"/>
          <c:order val="13"/>
          <c:tx>
            <c:strRef>
              <c:f>Thun1997!$A$23:$B$23</c:f>
              <c:strCache>
                <c:ptCount val="2"/>
                <c:pt idx="0">
                  <c:v>41+</c:v>
                </c:pt>
                <c:pt idx="1">
                  <c:v>60-69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square"/>
            <c:size val="11"/>
            <c:spPr>
              <a:noFill/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Thun1997!$C$23:$F$23</c:f>
              <c:numCache>
                <c:formatCode>0.0</c:formatCode>
                <c:ptCount val="4"/>
                <c:pt idx="1">
                  <c:v>1.9576505885068081</c:v>
                </c:pt>
                <c:pt idx="2">
                  <c:v>2.9330717747519039</c:v>
                </c:pt>
                <c:pt idx="3">
                  <c:v>3.9491114701130843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BA8-4513-87C0-F67DAD633280}"/>
            </c:ext>
          </c:extLst>
        </c:ser>
        <c:ser>
          <c:idx val="14"/>
          <c:order val="14"/>
          <c:tx>
            <c:strRef>
              <c:f>Thun1997!$A$24:$B$24</c:f>
              <c:strCache>
                <c:ptCount val="2"/>
                <c:pt idx="0">
                  <c:v>41+</c:v>
                </c:pt>
                <c:pt idx="1">
                  <c:v>70-79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rgbClr val="00B050"/>
                </a:solidFill>
              </a:ln>
            </c:spPr>
          </c:marker>
          <c:cat>
            <c:strRef>
              <c:f>Thun1997!$C$5:$F$5</c:f>
              <c:strCache>
                <c:ptCount val="4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50+</c:v>
                </c:pt>
              </c:strCache>
            </c:strRef>
          </c:cat>
          <c:val>
            <c:numRef>
              <c:f>Thun1997!$C$24:$F$24</c:f>
              <c:numCache>
                <c:formatCode>0.0</c:formatCode>
                <c:ptCount val="4"/>
                <c:pt idx="2">
                  <c:v>1.6261045503344618</c:v>
                </c:pt>
                <c:pt idx="3">
                  <c:v>2.5152366008753821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BA8-4513-87C0-F67DAD633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003712"/>
        <c:axId val="860616576"/>
      </c:lineChart>
      <c:catAx>
        <c:axId val="8600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Years Smoking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860616576"/>
        <c:crosses val="autoZero"/>
        <c:auto val="1"/>
        <c:lblAlgn val="ctr"/>
        <c:lblOffset val="100"/>
        <c:noMultiLvlLbl val="0"/>
      </c:catAx>
      <c:valAx>
        <c:axId val="860616576"/>
        <c:scaling>
          <c:orientation val="minMax"/>
          <c:max val="6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Relative Risk (Relative to Never-Smoker)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860003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564313081554461"/>
          <c:y val="1.8972134471215051E-2"/>
          <c:w val="0.18034307769694763"/>
          <c:h val="0.97802379492982539"/>
        </c:manualLayout>
      </c:layout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45364490728982E-2"/>
          <c:y val="2.0364583333333332E-2"/>
          <c:w val="0.91175171450342896"/>
          <c:h val="0.91079478346456688"/>
        </c:manualLayout>
      </c:layout>
      <c:lineChart>
        <c:grouping val="standard"/>
        <c:varyColors val="0"/>
        <c:ser>
          <c:idx val="2"/>
          <c:order val="2"/>
          <c:tx>
            <c:strRef>
              <c:f>CPD!$H$10</c:f>
              <c:strCache>
                <c:ptCount val="1"/>
                <c:pt idx="0">
                  <c:v>Men</c:v>
                </c:pt>
              </c:strCache>
            </c:strRef>
          </c:tx>
          <c:spPr>
            <a:ln w="12700">
              <a:solidFill>
                <a:srgbClr val="0070C0"/>
              </a:solidFill>
            </a:ln>
          </c:spPr>
          <c:marker>
            <c:symbol val="dash"/>
            <c:size val="4"/>
            <c:spPr>
              <a:noFill/>
              <a:ln w="12700">
                <a:solidFill>
                  <a:srgbClr val="0070C0"/>
                </a:solidFill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9BBB59"/>
                    </a:solidFill>
                  </a14:hiddenFill>
                </a:ext>
              </a:extLst>
            </c:spPr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CPD!$G$11:$G$17</c:f>
              <c:strCache>
                <c:ptCount val="6"/>
                <c:pt idx="0">
                  <c:v>1-4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25+</c:v>
                </c:pt>
              </c:strCache>
            </c:strRef>
          </c:cat>
          <c:val>
            <c:numRef>
              <c:f>CPD!$H$11:$H$17</c:f>
              <c:numCache>
                <c:formatCode>General</c:formatCode>
                <c:ptCount val="7"/>
                <c:pt idx="0">
                  <c:v>1.57</c:v>
                </c:pt>
                <c:pt idx="1">
                  <c:v>1.94</c:v>
                </c:pt>
                <c:pt idx="2">
                  <c:v>2.36</c:v>
                </c:pt>
                <c:pt idx="3">
                  <c:v>2.66</c:v>
                </c:pt>
                <c:pt idx="4">
                  <c:v>3.19</c:v>
                </c:pt>
                <c:pt idx="5">
                  <c:v>3.42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52-4457-9E55-7ACEF8495995}"/>
            </c:ext>
          </c:extLst>
        </c:ser>
        <c:ser>
          <c:idx val="3"/>
          <c:order val="3"/>
          <c:tx>
            <c:strRef>
              <c:f>CPD!$I$10</c:f>
              <c:strCache>
                <c:ptCount val="1"/>
                <c:pt idx="0">
                  <c:v>Women</c:v>
                </c:pt>
              </c:strCache>
            </c:strRef>
          </c:tx>
          <c:spPr>
            <a:ln w="12700">
              <a:solidFill>
                <a:srgbClr val="CC0099"/>
              </a:solidFill>
            </a:ln>
          </c:spPr>
          <c:marker>
            <c:symbol val="plus"/>
            <c:size val="4"/>
            <c:spPr>
              <a:noFill/>
              <a:ln w="12700">
                <a:solidFill>
                  <a:srgbClr val="CC0099"/>
                </a:solidFill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8064A2"/>
                    </a:solidFill>
                  </a14:hiddenFill>
                </a:ext>
              </a:extLst>
            </c:spPr>
          </c:marker>
          <c:cat>
            <c:strRef>
              <c:f>CPD!$G$11:$G$17</c:f>
              <c:strCache>
                <c:ptCount val="6"/>
                <c:pt idx="0">
                  <c:v>1-4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25+</c:v>
                </c:pt>
              </c:strCache>
            </c:strRef>
          </c:cat>
          <c:val>
            <c:numRef>
              <c:f>CPD!$I$11:$I$17</c:f>
              <c:numCache>
                <c:formatCode>General</c:formatCode>
                <c:ptCount val="7"/>
                <c:pt idx="0">
                  <c:v>1.47</c:v>
                </c:pt>
                <c:pt idx="1">
                  <c:v>1.9</c:v>
                </c:pt>
                <c:pt idx="2">
                  <c:v>2.29</c:v>
                </c:pt>
                <c:pt idx="3">
                  <c:v>2.97</c:v>
                </c:pt>
                <c:pt idx="4">
                  <c:v>3.14</c:v>
                </c:pt>
                <c:pt idx="5">
                  <c:v>2.61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52-4457-9E55-7ACEF8495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4115712"/>
        <c:axId val="864617600"/>
      </c:lineChart>
      <c:scatterChart>
        <c:scatterStyle val="lineMarker"/>
        <c:varyColors val="0"/>
        <c:ser>
          <c:idx val="0"/>
          <c:order val="0"/>
          <c:tx>
            <c:strRef>
              <c:f>CPD!$B$10</c:f>
              <c:strCache>
                <c:ptCount val="1"/>
                <c:pt idx="0">
                  <c:v>Men</c:v>
                </c:pt>
              </c:strCache>
            </c:strRef>
          </c:tx>
          <c:spPr>
            <a:ln w="25400">
              <a:solidFill>
                <a:srgbClr val="0070C0"/>
              </a:solidFill>
            </a:ln>
          </c:spPr>
          <c:marker>
            <c:symbol val="dash"/>
            <c:size val="7"/>
            <c:spPr>
              <a:ln w="12700">
                <a:solidFill>
                  <a:srgbClr val="0070C0"/>
                </a:solidFill>
              </a:ln>
            </c:spPr>
          </c:marker>
          <c:xVal>
            <c:strRef>
              <c:f>CPD!$J$11:$J$17</c:f>
              <c:strCache>
                <c:ptCount val="7"/>
                <c:pt idx="0">
                  <c:v>&lt;10</c:v>
                </c:pt>
                <c:pt idx="1">
                  <c:v>&lt;10</c:v>
                </c:pt>
                <c:pt idx="2">
                  <c:v>10-19</c:v>
                </c:pt>
                <c:pt idx="3">
                  <c:v>10-19</c:v>
                </c:pt>
                <c:pt idx="4">
                  <c:v>20-39</c:v>
                </c:pt>
                <c:pt idx="5">
                  <c:v>20-39</c:v>
                </c:pt>
                <c:pt idx="6">
                  <c:v>40+</c:v>
                </c:pt>
              </c:strCache>
            </c:strRef>
          </c:xVal>
          <c:yVal>
            <c:numRef>
              <c:f>CPD!$K$11:$K$17</c:f>
              <c:numCache>
                <c:formatCode>General</c:formatCode>
                <c:ptCount val="7"/>
                <c:pt idx="0" formatCode="0.00">
                  <c:v>2.21</c:v>
                </c:pt>
                <c:pt idx="2" formatCode="0.00">
                  <c:v>2.6</c:v>
                </c:pt>
                <c:pt idx="4">
                  <c:v>3.33</c:v>
                </c:pt>
                <c:pt idx="6">
                  <c:v>4.08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52-4457-9E55-7ACEF8495995}"/>
            </c:ext>
          </c:extLst>
        </c:ser>
        <c:ser>
          <c:idx val="1"/>
          <c:order val="1"/>
          <c:tx>
            <c:strRef>
              <c:f>CPD!$C$10</c:f>
              <c:strCache>
                <c:ptCount val="1"/>
                <c:pt idx="0">
                  <c:v>Women</c:v>
                </c:pt>
              </c:strCache>
            </c:strRef>
          </c:tx>
          <c:spPr>
            <a:ln w="25400">
              <a:solidFill>
                <a:srgbClr val="CC0099"/>
              </a:solidFill>
            </a:ln>
          </c:spPr>
          <c:marker>
            <c:symbol val="plus"/>
            <c:size val="7"/>
            <c:spPr>
              <a:noFill/>
              <a:ln w="12700">
                <a:solidFill>
                  <a:srgbClr val="CC0099"/>
                </a:solidFill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C0504D"/>
                    </a:solidFill>
                  </a14:hiddenFill>
                </a:ext>
              </a:extLst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strRef>
              <c:f>CPD!$J$11:$J$17</c:f>
              <c:strCache>
                <c:ptCount val="7"/>
                <c:pt idx="0">
                  <c:v>&lt;10</c:v>
                </c:pt>
                <c:pt idx="1">
                  <c:v>&lt;10</c:v>
                </c:pt>
                <c:pt idx="2">
                  <c:v>10-19</c:v>
                </c:pt>
                <c:pt idx="3">
                  <c:v>10-19</c:v>
                </c:pt>
                <c:pt idx="4">
                  <c:v>20-39</c:v>
                </c:pt>
                <c:pt idx="5">
                  <c:v>20-39</c:v>
                </c:pt>
                <c:pt idx="6">
                  <c:v>40+</c:v>
                </c:pt>
              </c:strCache>
            </c:strRef>
          </c:xVal>
          <c:yVal>
            <c:numRef>
              <c:f>CPD!$L$11:$L$17</c:f>
              <c:numCache>
                <c:formatCode>General</c:formatCode>
                <c:ptCount val="7"/>
                <c:pt idx="0" formatCode="0.00">
                  <c:v>2.27</c:v>
                </c:pt>
                <c:pt idx="2" formatCode="0.00">
                  <c:v>2.69</c:v>
                </c:pt>
                <c:pt idx="4">
                  <c:v>3.48</c:v>
                </c:pt>
                <c:pt idx="6">
                  <c:v>4.41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52-4457-9E55-7ACEF8495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6337536"/>
        <c:axId val="864619520"/>
      </c:scatterChart>
      <c:catAx>
        <c:axId val="8641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Cigarettes per Day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one"/>
        <c:crossAx val="864617600"/>
        <c:crosses val="autoZero"/>
        <c:auto val="1"/>
        <c:lblAlgn val="ctr"/>
        <c:lblOffset val="100"/>
        <c:noMultiLvlLbl val="0"/>
      </c:catAx>
      <c:valAx>
        <c:axId val="864617600"/>
        <c:scaling>
          <c:orientation val="minMax"/>
          <c:min val="1"/>
        </c:scaling>
        <c:delete val="0"/>
        <c:axPos val="l"/>
        <c:majorGridlines>
          <c:spPr>
            <a:ln>
              <a:solidFill>
                <a:srgbClr val="F0F0F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Relative Risk of Death vs. Never-Smoker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4115712"/>
        <c:crosses val="autoZero"/>
        <c:crossBetween val="between"/>
        <c:majorUnit val="1"/>
      </c:valAx>
      <c:valAx>
        <c:axId val="864619520"/>
        <c:scaling>
          <c:orientation val="minMax"/>
        </c:scaling>
        <c:delete val="1"/>
        <c:axPos val="r"/>
        <c:numFmt formatCode="0.00" sourceLinked="1"/>
        <c:majorTickMark val="out"/>
        <c:minorTickMark val="none"/>
        <c:tickLblPos val="nextTo"/>
        <c:crossAx val="866337536"/>
        <c:crosses val="max"/>
        <c:crossBetween val="midCat"/>
      </c:valAx>
      <c:valAx>
        <c:axId val="866337536"/>
        <c:scaling>
          <c:orientation val="minMax"/>
          <c:max val="7"/>
          <c:min val="0"/>
        </c:scaling>
        <c:delete val="1"/>
        <c:axPos val="t"/>
        <c:majorTickMark val="out"/>
        <c:minorTickMark val="none"/>
        <c:tickLblPos val="nextTo"/>
        <c:crossAx val="864619520"/>
        <c:crosses val="max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4806883413766831"/>
          <c:y val="0.78037852690288723"/>
          <c:w val="0.12617767335534671"/>
          <c:h val="0.11189386482939633"/>
        </c:manualLayout>
      </c:layout>
      <c:overlay val="0"/>
    </c:legend>
    <c:plotVisOnly val="0"/>
    <c:dispBlanksAs val="span"/>
    <c:showDLblsOverMax val="0"/>
  </c:chart>
  <c:spPr>
    <a:ln w="9525">
      <a:noFill/>
    </a:ln>
  </c:spPr>
  <c:txPr>
    <a:bodyPr/>
    <a:lstStyle/>
    <a:p>
      <a:pPr>
        <a:defRPr sz="1400"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357409454927514E-2"/>
          <c:y val="2.0364677034206972E-2"/>
          <c:w val="0.90051579226753953"/>
          <c:h val="0.86525402541001162"/>
        </c:manualLayout>
      </c:layout>
      <c:scatterChart>
        <c:scatterStyle val="lineMarker"/>
        <c:varyColors val="0"/>
        <c:ser>
          <c:idx val="0"/>
          <c:order val="0"/>
          <c:tx>
            <c:v>Thun 2013</c:v>
          </c:tx>
          <c:spPr>
            <a:ln w="25400">
              <a:solidFill>
                <a:srgbClr val="0070C0"/>
              </a:solidFill>
            </a:ln>
          </c:spPr>
          <c:marker>
            <c:symbol val="plus"/>
            <c:size val="7"/>
            <c:spPr>
              <a:ln w="12700">
                <a:solidFill>
                  <a:srgbClr val="0070C0"/>
                </a:solidFill>
              </a:ln>
            </c:spPr>
          </c:marker>
          <c:xVal>
            <c:numRef>
              <c:f>CPD!$P$10:$P$18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9.5</c:v>
                </c:pt>
                <c:pt idx="3">
                  <c:v>9.5</c:v>
                </c:pt>
                <c:pt idx="4">
                  <c:v>19.5</c:v>
                </c:pt>
                <c:pt idx="5">
                  <c:v>19.5</c:v>
                </c:pt>
                <c:pt idx="6">
                  <c:v>39.5</c:v>
                </c:pt>
                <c:pt idx="7">
                  <c:v>39.5</c:v>
                </c:pt>
                <c:pt idx="8">
                  <c:v>45</c:v>
                </c:pt>
              </c:numCache>
            </c:numRef>
          </c:xVal>
          <c:yVal>
            <c:numRef>
              <c:f>CPD!$Q$10:$Q$18</c:f>
              <c:numCache>
                <c:formatCode>General</c:formatCode>
                <c:ptCount val="9"/>
                <c:pt idx="0">
                  <c:v>1</c:v>
                </c:pt>
                <c:pt idx="1">
                  <c:v>2.2400000000000002</c:v>
                </c:pt>
                <c:pt idx="2">
                  <c:v>2.2400000000000002</c:v>
                </c:pt>
                <c:pt idx="3" formatCode="0.00">
                  <c:v>2.645</c:v>
                </c:pt>
                <c:pt idx="4">
                  <c:v>2.645</c:v>
                </c:pt>
                <c:pt idx="5">
                  <c:v>3.4050000000000002</c:v>
                </c:pt>
                <c:pt idx="6">
                  <c:v>3.4050000000000002</c:v>
                </c:pt>
                <c:pt idx="7">
                  <c:v>4.2450000000000001</c:v>
                </c:pt>
                <c:pt idx="8">
                  <c:v>4.2450000000000001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AB-4DA2-965B-009838C73D65}"/>
            </c:ext>
          </c:extLst>
        </c:ser>
        <c:ser>
          <c:idx val="2"/>
          <c:order val="1"/>
          <c:tx>
            <c:v>Bjartveit 2005</c:v>
          </c:tx>
          <c:spPr>
            <a:ln w="15875">
              <a:solidFill>
                <a:srgbClr val="002060"/>
              </a:solidFill>
            </a:ln>
          </c:spPr>
          <c:marker>
            <c:symbol val="x"/>
            <c:size val="4"/>
            <c:spPr>
              <a:noFill/>
              <a:ln w="12700">
                <a:solidFill>
                  <a:srgbClr val="002060"/>
                </a:solidFill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9BBB59"/>
                    </a:solidFill>
                  </a14:hiddenFill>
                </a:ext>
              </a:extLst>
            </c:spPr>
          </c:marker>
          <c:xVal>
            <c:numRef>
              <c:f>CPD!$M$10:$M$22</c:f>
              <c:numCache>
                <c:formatCode>General</c:formatCode>
                <c:ptCount val="13"/>
                <c:pt idx="0">
                  <c:v>0</c:v>
                </c:pt>
                <c:pt idx="1">
                  <c:v>0.5</c:v>
                </c:pt>
                <c:pt idx="2">
                  <c:v>4.5</c:v>
                </c:pt>
                <c:pt idx="3">
                  <c:v>4.5</c:v>
                </c:pt>
                <c:pt idx="4">
                  <c:v>9.5</c:v>
                </c:pt>
                <c:pt idx="5">
                  <c:v>9.5</c:v>
                </c:pt>
                <c:pt idx="6">
                  <c:v>14.5</c:v>
                </c:pt>
                <c:pt idx="7">
                  <c:v>14.5</c:v>
                </c:pt>
                <c:pt idx="8">
                  <c:v>19.5</c:v>
                </c:pt>
                <c:pt idx="9">
                  <c:v>19.5</c:v>
                </c:pt>
                <c:pt idx="10">
                  <c:v>24.5</c:v>
                </c:pt>
                <c:pt idx="11">
                  <c:v>24.5</c:v>
                </c:pt>
                <c:pt idx="12">
                  <c:v>45</c:v>
                </c:pt>
              </c:numCache>
            </c:numRef>
          </c:xVal>
          <c:yVal>
            <c:numRef>
              <c:f>CPD!$N$10:$N$22</c:f>
              <c:numCache>
                <c:formatCode>General</c:formatCode>
                <c:ptCount val="13"/>
                <c:pt idx="0">
                  <c:v>1</c:v>
                </c:pt>
                <c:pt idx="1">
                  <c:v>1.52</c:v>
                </c:pt>
                <c:pt idx="2">
                  <c:v>1.52</c:v>
                </c:pt>
                <c:pt idx="3">
                  <c:v>1.92</c:v>
                </c:pt>
                <c:pt idx="4">
                  <c:v>1.92</c:v>
                </c:pt>
                <c:pt idx="5">
                  <c:v>2.3250000000000002</c:v>
                </c:pt>
                <c:pt idx="6">
                  <c:v>2.3250000000000002</c:v>
                </c:pt>
                <c:pt idx="7">
                  <c:v>2.8150000000000004</c:v>
                </c:pt>
                <c:pt idx="8">
                  <c:v>2.8150000000000004</c:v>
                </c:pt>
                <c:pt idx="9">
                  <c:v>3.165</c:v>
                </c:pt>
                <c:pt idx="10">
                  <c:v>3.165</c:v>
                </c:pt>
                <c:pt idx="11">
                  <c:v>3.0149999999999997</c:v>
                </c:pt>
                <c:pt idx="12">
                  <c:v>3.0149999999999997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CAB-4DA2-965B-009838C73D65}"/>
            </c:ext>
          </c:extLst>
        </c:ser>
        <c:ser>
          <c:idx val="5"/>
          <c:order val="2"/>
          <c:tx>
            <c:strRef>
              <c:f>Thun1997!$I$30</c:f>
              <c:strCache>
                <c:ptCount val="1"/>
                <c:pt idx="0">
                  <c:v>Thun 1997 20-29 Years Smoking*</c:v>
                </c:pt>
              </c:strCache>
            </c:strRef>
          </c:tx>
          <c:spPr>
            <a:ln w="12700">
              <a:solidFill>
                <a:schemeClr val="bg1">
                  <a:lumMod val="75000"/>
                </a:schemeClr>
              </a:solidFill>
            </a:ln>
          </c:spPr>
          <c:marker>
            <c:symbol val="circle"/>
            <c:size val="3"/>
            <c:spPr>
              <a:noFill/>
              <a:ln>
                <a:solidFill>
                  <a:schemeClr val="bg1">
                    <a:lumMod val="75000"/>
                  </a:schemeClr>
                </a:solidFill>
              </a:ln>
            </c:spPr>
          </c:marker>
          <c:xVal>
            <c:numRef>
              <c:f>Thun1997!$H$31:$H$41</c:f>
              <c:numCache>
                <c:formatCode>General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19.5</c:v>
                </c:pt>
                <c:pt idx="3">
                  <c:v>19.5</c:v>
                </c:pt>
                <c:pt idx="4">
                  <c:v>20.5</c:v>
                </c:pt>
                <c:pt idx="5">
                  <c:v>20.5</c:v>
                </c:pt>
                <c:pt idx="6">
                  <c:v>39.5</c:v>
                </c:pt>
                <c:pt idx="7">
                  <c:v>39.5</c:v>
                </c:pt>
                <c:pt idx="8">
                  <c:v>40.5</c:v>
                </c:pt>
                <c:pt idx="9">
                  <c:v>40.5</c:v>
                </c:pt>
                <c:pt idx="10">
                  <c:v>45</c:v>
                </c:pt>
              </c:numCache>
            </c:numRef>
          </c:xVal>
          <c:yVal>
            <c:numRef>
              <c:f>Thun1997!$I$31:$I$41</c:f>
              <c:numCache>
                <c:formatCode>0.0</c:formatCode>
                <c:ptCount val="11"/>
                <c:pt idx="0" formatCode="General">
                  <c:v>1</c:v>
                </c:pt>
                <c:pt idx="1">
                  <c:v>1.4780534125853535</c:v>
                </c:pt>
                <c:pt idx="2">
                  <c:v>1.4780534125853535</c:v>
                </c:pt>
                <c:pt idx="3">
                  <c:v>1.8599772718932617</c:v>
                </c:pt>
                <c:pt idx="4">
                  <c:v>1.8599772718932617</c:v>
                </c:pt>
                <c:pt idx="5">
                  <c:v>2.2953475097781841</c:v>
                </c:pt>
                <c:pt idx="6">
                  <c:v>2.2953475097781841</c:v>
                </c:pt>
                <c:pt idx="7">
                  <c:v>1.8028263707429111</c:v>
                </c:pt>
                <c:pt idx="8">
                  <c:v>1.8028263707429111</c:v>
                </c:pt>
                <c:pt idx="9">
                  <c:v>2.4038479735877507</c:v>
                </c:pt>
                <c:pt idx="10">
                  <c:v>2.4038479735877507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CAB-4DA2-965B-009838C73D65}"/>
            </c:ext>
          </c:extLst>
        </c:ser>
        <c:ser>
          <c:idx val="6"/>
          <c:order val="3"/>
          <c:tx>
            <c:strRef>
              <c:f>Thun1997!$J$30</c:f>
              <c:strCache>
                <c:ptCount val="1"/>
                <c:pt idx="0">
                  <c:v>Thun 1997 30-39 Years Smoking*</c:v>
                </c:pt>
              </c:strCache>
            </c:strRef>
          </c:tx>
          <c:spPr>
            <a:ln w="12700">
              <a:solidFill>
                <a:schemeClr val="bg1">
                  <a:lumMod val="75000"/>
                </a:schemeClr>
              </a:solidFill>
            </a:ln>
          </c:spPr>
          <c:marker>
            <c:symbol val="circle"/>
            <c:size val="5"/>
            <c:spPr>
              <a:noFill/>
              <a:ln>
                <a:solidFill>
                  <a:schemeClr val="bg1">
                    <a:lumMod val="75000"/>
                  </a:schemeClr>
                </a:solidFill>
              </a:ln>
            </c:spPr>
          </c:marker>
          <c:xVal>
            <c:numRef>
              <c:f>Thun1997!$H$31:$H$41</c:f>
              <c:numCache>
                <c:formatCode>General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19.5</c:v>
                </c:pt>
                <c:pt idx="3">
                  <c:v>19.5</c:v>
                </c:pt>
                <c:pt idx="4">
                  <c:v>20.5</c:v>
                </c:pt>
                <c:pt idx="5">
                  <c:v>20.5</c:v>
                </c:pt>
                <c:pt idx="6">
                  <c:v>39.5</c:v>
                </c:pt>
                <c:pt idx="7">
                  <c:v>39.5</c:v>
                </c:pt>
                <c:pt idx="8">
                  <c:v>40.5</c:v>
                </c:pt>
                <c:pt idx="9">
                  <c:v>40.5</c:v>
                </c:pt>
                <c:pt idx="10">
                  <c:v>45</c:v>
                </c:pt>
              </c:numCache>
            </c:numRef>
          </c:xVal>
          <c:yVal>
            <c:numRef>
              <c:f>Thun1997!$J$31:$J$41</c:f>
              <c:numCache>
                <c:formatCode>0.0</c:formatCode>
                <c:ptCount val="11"/>
                <c:pt idx="0" formatCode="General">
                  <c:v>1</c:v>
                </c:pt>
                <c:pt idx="1">
                  <c:v>1.9195604748329451</c:v>
                </c:pt>
                <c:pt idx="2">
                  <c:v>1.9195604748329451</c:v>
                </c:pt>
                <c:pt idx="3">
                  <c:v>2.0872648740670732</c:v>
                </c:pt>
                <c:pt idx="4">
                  <c:v>2.0872648740670732</c:v>
                </c:pt>
                <c:pt idx="5">
                  <c:v>2.0047568001580371</c:v>
                </c:pt>
                <c:pt idx="6">
                  <c:v>2.0047568001580371</c:v>
                </c:pt>
                <c:pt idx="7">
                  <c:v>2.4330249198769578</c:v>
                </c:pt>
                <c:pt idx="8">
                  <c:v>2.4330249198769578</c:v>
                </c:pt>
                <c:pt idx="9">
                  <c:v>3.2465156342824484</c:v>
                </c:pt>
                <c:pt idx="10">
                  <c:v>3.2465156342824484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CAB-4DA2-965B-009838C73D65}"/>
            </c:ext>
          </c:extLst>
        </c:ser>
        <c:ser>
          <c:idx val="7"/>
          <c:order val="4"/>
          <c:tx>
            <c:strRef>
              <c:f>Thun1997!$K$30</c:f>
              <c:strCache>
                <c:ptCount val="1"/>
                <c:pt idx="0">
                  <c:v>Thun 1997 40-49 Years Smoking*</c:v>
                </c:pt>
              </c:strCache>
            </c:strRef>
          </c:tx>
          <c:spPr>
            <a:ln w="12700">
              <a:solidFill>
                <a:schemeClr val="bg1">
                  <a:lumMod val="75000"/>
                </a:schemeClr>
              </a:solidFill>
            </a:ln>
          </c:spPr>
          <c:marker>
            <c:symbol val="circle"/>
            <c:size val="7"/>
            <c:spPr>
              <a:noFill/>
              <a:ln>
                <a:solidFill>
                  <a:schemeClr val="bg1">
                    <a:lumMod val="75000"/>
                  </a:schemeClr>
                </a:solidFill>
              </a:ln>
            </c:spPr>
          </c:marker>
          <c:xVal>
            <c:numRef>
              <c:f>Thun1997!$H$31:$H$41</c:f>
              <c:numCache>
                <c:formatCode>General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19.5</c:v>
                </c:pt>
                <c:pt idx="3">
                  <c:v>19.5</c:v>
                </c:pt>
                <c:pt idx="4">
                  <c:v>20.5</c:v>
                </c:pt>
                <c:pt idx="5">
                  <c:v>20.5</c:v>
                </c:pt>
                <c:pt idx="6">
                  <c:v>39.5</c:v>
                </c:pt>
                <c:pt idx="7">
                  <c:v>39.5</c:v>
                </c:pt>
                <c:pt idx="8">
                  <c:v>40.5</c:v>
                </c:pt>
                <c:pt idx="9">
                  <c:v>40.5</c:v>
                </c:pt>
                <c:pt idx="10">
                  <c:v>45</c:v>
                </c:pt>
              </c:numCache>
            </c:numRef>
          </c:xVal>
          <c:yVal>
            <c:numRef>
              <c:f>Thun1997!$K$31:$K$41</c:f>
              <c:numCache>
                <c:formatCode>0.0</c:formatCode>
                <c:ptCount val="11"/>
                <c:pt idx="0" formatCode="General">
                  <c:v>1</c:v>
                </c:pt>
                <c:pt idx="1">
                  <c:v>2.1326478629120857</c:v>
                </c:pt>
                <c:pt idx="2">
                  <c:v>2.1326478629120857</c:v>
                </c:pt>
                <c:pt idx="3">
                  <c:v>2.8306587019079608</c:v>
                </c:pt>
                <c:pt idx="4">
                  <c:v>2.8306587019079608</c:v>
                </c:pt>
                <c:pt idx="5">
                  <c:v>2.872490845914498</c:v>
                </c:pt>
                <c:pt idx="6">
                  <c:v>2.872490845914498</c:v>
                </c:pt>
                <c:pt idx="7">
                  <c:v>3.1976948838653434</c:v>
                </c:pt>
                <c:pt idx="8">
                  <c:v>3.1976948838653434</c:v>
                </c:pt>
                <c:pt idx="9">
                  <c:v>3.5621790859715818</c:v>
                </c:pt>
                <c:pt idx="10">
                  <c:v>3.5621790859715818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CAB-4DA2-965B-009838C73D65}"/>
            </c:ext>
          </c:extLst>
        </c:ser>
        <c:ser>
          <c:idx val="8"/>
          <c:order val="5"/>
          <c:tx>
            <c:strRef>
              <c:f>Thun1997!$L$30</c:f>
              <c:strCache>
                <c:ptCount val="1"/>
                <c:pt idx="0">
                  <c:v>Thun 1997 50+ Years Smoking*</c:v>
                </c:pt>
              </c:strCache>
            </c:strRef>
          </c:tx>
          <c:spPr>
            <a:ln w="12700">
              <a:solidFill>
                <a:schemeClr val="bg1">
                  <a:lumMod val="75000"/>
                </a:schemeClr>
              </a:solidFill>
            </a:ln>
          </c:spPr>
          <c:marker>
            <c:symbol val="circle"/>
            <c:size val="9"/>
            <c:spPr>
              <a:noFill/>
              <a:ln>
                <a:solidFill>
                  <a:schemeClr val="bg1">
                    <a:lumMod val="75000"/>
                  </a:schemeClr>
                </a:solidFill>
              </a:ln>
            </c:spPr>
          </c:marker>
          <c:xVal>
            <c:numRef>
              <c:f>Thun1997!$H$31:$H$41</c:f>
              <c:numCache>
                <c:formatCode>General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19.5</c:v>
                </c:pt>
                <c:pt idx="3">
                  <c:v>19.5</c:v>
                </c:pt>
                <c:pt idx="4">
                  <c:v>20.5</c:v>
                </c:pt>
                <c:pt idx="5">
                  <c:v>20.5</c:v>
                </c:pt>
                <c:pt idx="6">
                  <c:v>39.5</c:v>
                </c:pt>
                <c:pt idx="7">
                  <c:v>39.5</c:v>
                </c:pt>
                <c:pt idx="8">
                  <c:v>40.5</c:v>
                </c:pt>
                <c:pt idx="9">
                  <c:v>40.5</c:v>
                </c:pt>
                <c:pt idx="10">
                  <c:v>45</c:v>
                </c:pt>
              </c:numCache>
            </c:numRef>
          </c:xVal>
          <c:yVal>
            <c:numRef>
              <c:f>Thun1997!$L$31:$L$41</c:f>
              <c:numCache>
                <c:formatCode>0.0</c:formatCode>
                <c:ptCount val="11"/>
                <c:pt idx="0" formatCode="General">
                  <c:v>1</c:v>
                </c:pt>
                <c:pt idx="1">
                  <c:v>2.5572251212452155</c:v>
                </c:pt>
                <c:pt idx="2">
                  <c:v>2.5572251212452155</c:v>
                </c:pt>
                <c:pt idx="3">
                  <c:v>3.3826484375364072</c:v>
                </c:pt>
                <c:pt idx="4">
                  <c:v>3.3826484375364072</c:v>
                </c:pt>
                <c:pt idx="5">
                  <c:v>3.2621293337741508</c:v>
                </c:pt>
                <c:pt idx="6">
                  <c:v>3.2621293337741508</c:v>
                </c:pt>
                <c:pt idx="7">
                  <c:v>3.519022146192381</c:v>
                </c:pt>
                <c:pt idx="8">
                  <c:v>3.519022146192381</c:v>
                </c:pt>
                <c:pt idx="9">
                  <c:v>2.6892530121775269</c:v>
                </c:pt>
                <c:pt idx="10">
                  <c:v>2.6892530121775269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CAB-4DA2-965B-009838C73D65}"/>
            </c:ext>
          </c:extLst>
        </c:ser>
        <c:ser>
          <c:idx val="1"/>
          <c:order val="6"/>
          <c:tx>
            <c:v>Model: 1 + ln(1 + 0.35 CPD)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CPD!$M$10:$M$22</c:f>
              <c:numCache>
                <c:formatCode>General</c:formatCode>
                <c:ptCount val="13"/>
                <c:pt idx="0">
                  <c:v>0</c:v>
                </c:pt>
                <c:pt idx="1">
                  <c:v>0.5</c:v>
                </c:pt>
                <c:pt idx="2">
                  <c:v>4.5</c:v>
                </c:pt>
                <c:pt idx="3">
                  <c:v>4.5</c:v>
                </c:pt>
                <c:pt idx="4">
                  <c:v>9.5</c:v>
                </c:pt>
                <c:pt idx="5">
                  <c:v>9.5</c:v>
                </c:pt>
                <c:pt idx="6">
                  <c:v>14.5</c:v>
                </c:pt>
                <c:pt idx="7">
                  <c:v>14.5</c:v>
                </c:pt>
                <c:pt idx="8">
                  <c:v>19.5</c:v>
                </c:pt>
                <c:pt idx="9">
                  <c:v>19.5</c:v>
                </c:pt>
                <c:pt idx="10">
                  <c:v>24.5</c:v>
                </c:pt>
                <c:pt idx="11">
                  <c:v>24.5</c:v>
                </c:pt>
                <c:pt idx="12">
                  <c:v>45</c:v>
                </c:pt>
              </c:numCache>
            </c:numRef>
          </c:xVal>
          <c:yVal>
            <c:numRef>
              <c:f>CPD!$T$10:$T$22</c:f>
              <c:numCache>
                <c:formatCode>General</c:formatCode>
                <c:ptCount val="13"/>
                <c:pt idx="0">
                  <c:v>1</c:v>
                </c:pt>
                <c:pt idx="1">
                  <c:v>1.1612681475961224</c:v>
                </c:pt>
                <c:pt idx="2">
                  <c:v>1.9458495341156996</c:v>
                </c:pt>
                <c:pt idx="3">
                  <c:v>1.9458495341156996</c:v>
                </c:pt>
                <c:pt idx="4">
                  <c:v>2.4644121403838426</c:v>
                </c:pt>
                <c:pt idx="5">
                  <c:v>2.4644121403838426</c:v>
                </c:pt>
                <c:pt idx="6">
                  <c:v>2.804181989226612</c:v>
                </c:pt>
                <c:pt idx="7">
                  <c:v>2.804181989226612</c:v>
                </c:pt>
                <c:pt idx="8">
                  <c:v>3.0573237364262167</c:v>
                </c:pt>
                <c:pt idx="9">
                  <c:v>3.0573237364262167</c:v>
                </c:pt>
                <c:pt idx="10">
                  <c:v>3.2591555350667094</c:v>
                </c:pt>
                <c:pt idx="11">
                  <c:v>3.2591555350667094</c:v>
                </c:pt>
                <c:pt idx="12">
                  <c:v>3.8183982582710754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1B-4CF4-8D08-79C4F8C22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533184"/>
        <c:axId val="867535488"/>
      </c:scatterChart>
      <c:valAx>
        <c:axId val="867533184"/>
        <c:scaling>
          <c:orientation val="minMax"/>
          <c:max val="4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Cigarettes per Day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867535488"/>
        <c:crosses val="autoZero"/>
        <c:crossBetween val="midCat"/>
        <c:majorUnit val="10"/>
        <c:minorUnit val="5"/>
      </c:valAx>
      <c:valAx>
        <c:axId val="867535488"/>
        <c:scaling>
          <c:orientation val="minMax"/>
          <c:max val="5.55"/>
          <c:min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Relative Risk of Death vs. Never-Smoker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867533184"/>
        <c:crosses val="autoZero"/>
        <c:crossBetween val="midCat"/>
        <c:majorUnit val="1"/>
        <c:minorUnit val="0.5"/>
      </c:valAx>
    </c:plotArea>
    <c:legend>
      <c:legendPos val="l"/>
      <c:layout>
        <c:manualLayout>
          <c:xMode val="edge"/>
          <c:yMode val="edge"/>
          <c:x val="7.7459511013964824E-2"/>
          <c:y val="1.9915108267716537E-2"/>
          <c:w val="0.39953859747966886"/>
          <c:h val="0.34867707776860951"/>
        </c:manualLayout>
      </c:layout>
      <c:overlay val="1"/>
    </c:legend>
    <c:plotVisOnly val="0"/>
    <c:dispBlanksAs val="span"/>
    <c:showDLblsOverMax val="0"/>
  </c:chart>
  <c:spPr>
    <a:ln w="9525">
      <a:noFill/>
    </a:ln>
  </c:spPr>
  <c:txPr>
    <a:bodyPr/>
    <a:lstStyle/>
    <a:p>
      <a:pPr>
        <a:defRPr sz="1400"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280987</xdr:colOff>
      <xdr:row>3</xdr:row>
      <xdr:rowOff>33337</xdr:rowOff>
    </xdr:from>
    <xdr:to>
      <xdr:col>28</xdr:col>
      <xdr:colOff>95250</xdr:colOff>
      <xdr:row>20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285905</xdr:colOff>
      <xdr:row>20</xdr:row>
      <xdr:rowOff>33337</xdr:rowOff>
    </xdr:from>
    <xdr:to>
      <xdr:col>27</xdr:col>
      <xdr:colOff>394609</xdr:colOff>
      <xdr:row>37</xdr:row>
      <xdr:rowOff>23812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272156</xdr:colOff>
      <xdr:row>37</xdr:row>
      <xdr:rowOff>28574</xdr:rowOff>
    </xdr:from>
    <xdr:to>
      <xdr:col>27</xdr:col>
      <xdr:colOff>394608</xdr:colOff>
      <xdr:row>54</xdr:row>
      <xdr:rowOff>28574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9525</xdr:colOff>
      <xdr:row>4</xdr:row>
      <xdr:rowOff>35719</xdr:rowOff>
    </xdr:from>
    <xdr:to>
      <xdr:col>39</xdr:col>
      <xdr:colOff>335757</xdr:colOff>
      <xdr:row>23</xdr:row>
      <xdr:rowOff>140494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414922</xdr:colOff>
      <xdr:row>30</xdr:row>
      <xdr:rowOff>59199</xdr:rowOff>
    </xdr:from>
    <xdr:to>
      <xdr:col>37</xdr:col>
      <xdr:colOff>68733</xdr:colOff>
      <xdr:row>60</xdr:row>
      <xdr:rowOff>71899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423869</xdr:colOff>
      <xdr:row>0</xdr:row>
      <xdr:rowOff>50132</xdr:rowOff>
    </xdr:from>
    <xdr:to>
      <xdr:col>37</xdr:col>
      <xdr:colOff>65094</xdr:colOff>
      <xdr:row>30</xdr:row>
      <xdr:rowOff>1146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0.19536</cdr:x>
      <cdr:y>0.49707</cdr:y>
    </cdr:from>
    <cdr:to>
      <cdr:x>0.38986</cdr:x>
      <cdr:y>0.55834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38288" y="2424113"/>
          <a:ext cx="1531445" cy="29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400" b="1" i="1">
              <a:latin typeface="Arial" panose="020B0604020202020204" pitchFamily="34" charset="0"/>
              <a:cs typeface="Arial" panose="020B0604020202020204" pitchFamily="34" charset="0"/>
            </a:rPr>
            <a:t>Thun et al. 2013</a:t>
          </a:r>
        </a:p>
      </cdr:txBody>
    </cdr:sp>
  </cdr:relSizeAnchor>
  <cdr:relSizeAnchor xmlns:cdr="http://schemas.openxmlformats.org/drawingml/2006/chartDrawing">
    <cdr:from>
      <cdr:x>0.19778</cdr:x>
      <cdr:y>0.81543</cdr:y>
    </cdr:from>
    <cdr:to>
      <cdr:x>0.47975</cdr:x>
      <cdr:y>0.8767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57338" y="3976688"/>
          <a:ext cx="2220223" cy="29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400" b="1" i="1">
              <a:latin typeface="Arial" panose="020B0604020202020204" pitchFamily="34" charset="0"/>
              <a:cs typeface="Arial" panose="020B0604020202020204" pitchFamily="34" charset="0"/>
            </a:rPr>
            <a:t>Bjartveit &amp; Tverdal 2005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0.07782</cdr:x>
      <cdr:y>0.36871</cdr:y>
    </cdr:from>
    <cdr:to>
      <cdr:x>0.46617</cdr:x>
      <cdr:y>0.42682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36995" y="1895953"/>
          <a:ext cx="3178691" cy="29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en-US" sz="1400" b="0" i="0">
              <a:latin typeface="Arial" panose="020B0604020202020204" pitchFamily="34" charset="0"/>
              <a:cs typeface="Arial" panose="020B0604020202020204" pitchFamily="34" charset="0"/>
            </a:rPr>
            <a:t>* </a:t>
          </a:r>
          <a:r>
            <a:rPr lang="en-US" sz="1400" b="0" i="0" baseline="0">
              <a:latin typeface="Arial" panose="020B0604020202020204" pitchFamily="34" charset="0"/>
              <a:cs typeface="Arial" panose="020B0604020202020204" pitchFamily="34" charset="0"/>
            </a:rPr>
            <a:t>averaged over age groups &amp; gender</a:t>
          </a:r>
          <a:endParaRPr lang="en-US" sz="1400" b="0" i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nejm.org/doi/pdf/10.1056/NEJMsa1211127" TargetMode="External"/><Relationship Id="rId1" Type="http://schemas.openxmlformats.org/officeDocument/2006/relationships/hyperlink" Target="http://www.nejm.org/doi/suppl/10.1056/NEJMsa1211127/suppl_file/nejmsa1211127_appendix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nejm.org/doi/pdf/10.1056/NEJMsa1211127" TargetMode="External"/><Relationship Id="rId1" Type="http://schemas.openxmlformats.org/officeDocument/2006/relationships/hyperlink" Target="http://www.nejm.org/doi/suppl/10.1056/NEJMsa1211127/suppl_file/nejmsa1211127_appendix.pdf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51"/>
  <sheetViews>
    <sheetView showGridLines="0" zoomScaleNormal="100" workbookViewId="0"/>
  </sheetViews>
  <sheetFormatPr defaultColWidth="7.33203125" defaultRowHeight="13.2" x14ac:dyDescent="0.25"/>
  <cols>
    <col min="5" max="5" width="7.33203125" customWidth="1"/>
    <col min="8" max="10" width="7.33203125" customWidth="1"/>
    <col min="26" max="27" width="7.109375" customWidth="1"/>
  </cols>
  <sheetData>
    <row r="1" spans="1:12" ht="17.399999999999999" x14ac:dyDescent="0.3">
      <c r="A1" s="2" t="s">
        <v>30</v>
      </c>
    </row>
    <row r="2" spans="1:12" x14ac:dyDescent="0.25">
      <c r="A2" s="7" t="s">
        <v>35</v>
      </c>
      <c r="B2" s="6" t="s">
        <v>32</v>
      </c>
    </row>
    <row r="3" spans="1:12" x14ac:dyDescent="0.25">
      <c r="A3" t="s">
        <v>33</v>
      </c>
      <c r="B3" s="6" t="s">
        <v>34</v>
      </c>
    </row>
    <row r="4" spans="1:12" x14ac:dyDescent="0.25">
      <c r="A4" s="5" t="s">
        <v>56</v>
      </c>
    </row>
    <row r="5" spans="1:12" x14ac:dyDescent="0.25">
      <c r="A5" t="s">
        <v>48</v>
      </c>
    </row>
    <row r="7" spans="1:12" x14ac:dyDescent="0.25">
      <c r="B7" s="35" t="s">
        <v>27</v>
      </c>
      <c r="C7" s="35"/>
      <c r="D7" s="35" t="s">
        <v>28</v>
      </c>
      <c r="E7" s="35"/>
      <c r="F7" s="20" t="s">
        <v>49</v>
      </c>
      <c r="G7" s="19"/>
      <c r="H7" s="20" t="s">
        <v>70</v>
      </c>
      <c r="I7" s="19"/>
      <c r="K7" t="s">
        <v>31</v>
      </c>
    </row>
    <row r="8" spans="1:12" x14ac:dyDescent="0.25">
      <c r="A8" t="s">
        <v>36</v>
      </c>
      <c r="B8" s="21" t="s">
        <v>7</v>
      </c>
      <c r="C8" s="21" t="s">
        <v>8</v>
      </c>
      <c r="D8" s="21" t="str">
        <f t="shared" ref="D8:E8" si="0">B8</f>
        <v>Men</v>
      </c>
      <c r="E8" s="21" t="str">
        <f t="shared" si="0"/>
        <v>Women</v>
      </c>
      <c r="F8" s="21" t="s">
        <v>7</v>
      </c>
      <c r="G8" s="21" t="s">
        <v>8</v>
      </c>
      <c r="H8" s="21" t="s">
        <v>7</v>
      </c>
      <c r="I8" s="21" t="s">
        <v>8</v>
      </c>
      <c r="K8" t="str">
        <f>B21</f>
        <v>Men</v>
      </c>
      <c r="L8" t="str">
        <f>C21</f>
        <v>Women</v>
      </c>
    </row>
    <row r="9" spans="1:12" x14ac:dyDescent="0.25">
      <c r="A9" t="s">
        <v>0</v>
      </c>
      <c r="B9" s="23">
        <v>299</v>
      </c>
      <c r="C9" s="24">
        <v>265</v>
      </c>
      <c r="D9" s="23">
        <v>1102</v>
      </c>
      <c r="E9" s="24">
        <v>705</v>
      </c>
      <c r="F9" s="36">
        <f t="shared" ref="F9:G15" si="1">D9/B9</f>
        <v>3.6856187290969902</v>
      </c>
      <c r="G9" s="37">
        <f t="shared" si="1"/>
        <v>2.6603773584905661</v>
      </c>
      <c r="H9" s="36" t="s">
        <v>57</v>
      </c>
      <c r="I9" s="37" t="s">
        <v>64</v>
      </c>
      <c r="K9">
        <v>34.9</v>
      </c>
      <c r="L9">
        <v>26.3</v>
      </c>
    </row>
    <row r="10" spans="1:12" x14ac:dyDescent="0.25">
      <c r="A10" t="s">
        <v>1</v>
      </c>
      <c r="B10" s="25">
        <v>530</v>
      </c>
      <c r="C10" s="26">
        <v>361</v>
      </c>
      <c r="D10" s="25">
        <v>1795</v>
      </c>
      <c r="E10" s="26">
        <v>1069</v>
      </c>
      <c r="F10" s="38">
        <f t="shared" si="1"/>
        <v>3.3867924528301887</v>
      </c>
      <c r="G10" s="39">
        <f t="shared" si="1"/>
        <v>2.9612188365650969</v>
      </c>
      <c r="H10" s="38" t="s">
        <v>58</v>
      </c>
      <c r="I10" s="39" t="s">
        <v>65</v>
      </c>
      <c r="K10">
        <v>43.6</v>
      </c>
      <c r="L10">
        <v>29.2</v>
      </c>
    </row>
    <row r="11" spans="1:12" x14ac:dyDescent="0.25">
      <c r="A11" t="s">
        <v>2</v>
      </c>
      <c r="B11" s="25">
        <v>826</v>
      </c>
      <c r="C11" s="26">
        <v>577</v>
      </c>
      <c r="D11" s="25">
        <v>2880</v>
      </c>
      <c r="E11" s="26">
        <v>1799</v>
      </c>
      <c r="F11" s="38">
        <f t="shared" si="1"/>
        <v>3.486682808716707</v>
      </c>
      <c r="G11" s="39">
        <f t="shared" si="1"/>
        <v>3.1178509532062391</v>
      </c>
      <c r="H11" s="38" t="s">
        <v>59</v>
      </c>
      <c r="I11" s="39" t="s">
        <v>66</v>
      </c>
      <c r="K11" s="4">
        <f t="shared" ref="K11:L11" si="2">K10</f>
        <v>43.6</v>
      </c>
      <c r="L11" s="4">
        <f t="shared" si="2"/>
        <v>29.2</v>
      </c>
    </row>
    <row r="12" spans="1:12" x14ac:dyDescent="0.25">
      <c r="A12" t="s">
        <v>3</v>
      </c>
      <c r="B12" s="25">
        <v>1356</v>
      </c>
      <c r="C12" s="26">
        <v>913</v>
      </c>
      <c r="D12" s="25">
        <v>4424</v>
      </c>
      <c r="E12" s="26">
        <v>2789</v>
      </c>
      <c r="F12" s="38">
        <f t="shared" si="1"/>
        <v>3.2625368731563422</v>
      </c>
      <c r="G12" s="39">
        <f t="shared" si="1"/>
        <v>3.0547645125958378</v>
      </c>
      <c r="H12" s="38" t="s">
        <v>60</v>
      </c>
      <c r="I12" s="39" t="s">
        <v>67</v>
      </c>
      <c r="K12">
        <v>50.9</v>
      </c>
      <c r="L12">
        <v>33.5</v>
      </c>
    </row>
    <row r="13" spans="1:12" x14ac:dyDescent="0.25">
      <c r="A13" t="s">
        <v>4</v>
      </c>
      <c r="B13" s="25">
        <v>2323</v>
      </c>
      <c r="C13" s="26">
        <v>1552</v>
      </c>
      <c r="D13" s="25">
        <v>6078</v>
      </c>
      <c r="E13" s="26">
        <v>4119</v>
      </c>
      <c r="F13" s="38">
        <f t="shared" si="1"/>
        <v>2.6164442531209642</v>
      </c>
      <c r="G13" s="39">
        <f t="shared" si="1"/>
        <v>2.6539948453608249</v>
      </c>
      <c r="H13" s="38" t="s">
        <v>61</v>
      </c>
      <c r="I13" s="39" t="s">
        <v>61</v>
      </c>
      <c r="K13" s="4">
        <f t="shared" ref="K13:L13" si="3">K12</f>
        <v>50.9</v>
      </c>
      <c r="L13" s="4">
        <f t="shared" si="3"/>
        <v>33.5</v>
      </c>
    </row>
    <row r="14" spans="1:12" x14ac:dyDescent="0.25">
      <c r="A14" t="s">
        <v>5</v>
      </c>
      <c r="B14" s="25">
        <v>4340</v>
      </c>
      <c r="C14" s="26">
        <v>2902</v>
      </c>
      <c r="D14" s="25">
        <v>10278</v>
      </c>
      <c r="E14" s="26">
        <v>6629</v>
      </c>
      <c r="F14" s="38">
        <f t="shared" si="1"/>
        <v>2.3682027649769584</v>
      </c>
      <c r="G14" s="39">
        <f t="shared" si="1"/>
        <v>2.2842866988283941</v>
      </c>
      <c r="H14" s="38" t="s">
        <v>62</v>
      </c>
      <c r="I14" s="39" t="s">
        <v>68</v>
      </c>
      <c r="K14">
        <v>39.9</v>
      </c>
      <c r="L14">
        <v>39.9</v>
      </c>
    </row>
    <row r="15" spans="1:12" x14ac:dyDescent="0.25">
      <c r="A15" t="s">
        <v>6</v>
      </c>
      <c r="B15" s="27">
        <v>10522</v>
      </c>
      <c r="C15" s="28">
        <v>6274</v>
      </c>
      <c r="D15" s="27">
        <v>18698</v>
      </c>
      <c r="E15" s="28">
        <v>12178</v>
      </c>
      <c r="F15" s="40">
        <f t="shared" si="1"/>
        <v>1.7770385858201863</v>
      </c>
      <c r="G15" s="41">
        <f t="shared" si="1"/>
        <v>1.941026458399745</v>
      </c>
      <c r="H15" s="40" t="s">
        <v>63</v>
      </c>
      <c r="I15" s="41" t="s">
        <v>69</v>
      </c>
      <c r="K15" s="4">
        <f t="shared" ref="K15" si="4">K14</f>
        <v>39.9</v>
      </c>
      <c r="L15" s="4">
        <f t="shared" ref="L15" si="5">L14</f>
        <v>39.9</v>
      </c>
    </row>
    <row r="19" spans="1:10" x14ac:dyDescent="0.25">
      <c r="A19" t="s">
        <v>72</v>
      </c>
    </row>
    <row r="20" spans="1:10" x14ac:dyDescent="0.25">
      <c r="A20" t="s">
        <v>73</v>
      </c>
      <c r="G20" t="s">
        <v>79</v>
      </c>
    </row>
    <row r="21" spans="1:10" x14ac:dyDescent="0.25">
      <c r="A21" t="s">
        <v>45</v>
      </c>
      <c r="B21" s="21" t="s">
        <v>7</v>
      </c>
      <c r="C21" s="21" t="s">
        <v>8</v>
      </c>
      <c r="D21" s="62" t="s">
        <v>29</v>
      </c>
      <c r="G21" t="s">
        <v>45</v>
      </c>
      <c r="H21" t="s">
        <v>7</v>
      </c>
      <c r="I21" t="s">
        <v>8</v>
      </c>
    </row>
    <row r="22" spans="1:10" x14ac:dyDescent="0.25">
      <c r="A22" t="s">
        <v>9</v>
      </c>
      <c r="B22" s="57">
        <v>2.21</v>
      </c>
      <c r="C22" s="58">
        <v>2.27</v>
      </c>
      <c r="D22" s="3">
        <v>0.24</v>
      </c>
      <c r="E22" s="3">
        <v>0.42899999999999999</v>
      </c>
      <c r="G22" s="1" t="s">
        <v>74</v>
      </c>
      <c r="H22" s="16">
        <v>1.57</v>
      </c>
      <c r="I22" s="8">
        <v>1.47</v>
      </c>
      <c r="J22" t="s">
        <v>9</v>
      </c>
    </row>
    <row r="23" spans="1:10" x14ac:dyDescent="0.25">
      <c r="A23" s="1" t="s">
        <v>10</v>
      </c>
      <c r="B23" s="59">
        <v>2.6</v>
      </c>
      <c r="C23" s="60">
        <v>2.69</v>
      </c>
      <c r="D23" s="3">
        <v>0.36</v>
      </c>
      <c r="E23" s="3">
        <v>0.35899999999999999</v>
      </c>
      <c r="G23" s="1" t="s">
        <v>24</v>
      </c>
      <c r="H23" s="9">
        <v>1.94</v>
      </c>
      <c r="I23" s="10">
        <v>1.9</v>
      </c>
      <c r="J23" t="s">
        <v>9</v>
      </c>
    </row>
    <row r="24" spans="1:10" x14ac:dyDescent="0.25">
      <c r="A24" t="s">
        <v>11</v>
      </c>
      <c r="B24" s="25">
        <v>3.33</v>
      </c>
      <c r="C24" s="26">
        <v>3.48</v>
      </c>
      <c r="D24" s="3">
        <v>0.34300000000000003</v>
      </c>
      <c r="E24" s="3">
        <v>0.184</v>
      </c>
      <c r="G24" s="1" t="s">
        <v>75</v>
      </c>
      <c r="H24" s="9">
        <v>2.36</v>
      </c>
      <c r="I24" s="10">
        <v>2.29</v>
      </c>
      <c r="J24" s="1" t="s">
        <v>10</v>
      </c>
    </row>
    <row r="25" spans="1:10" x14ac:dyDescent="0.25">
      <c r="A25" t="s">
        <v>12</v>
      </c>
      <c r="B25" s="27">
        <v>4.08</v>
      </c>
      <c r="C25" s="28">
        <v>4.41</v>
      </c>
      <c r="D25" s="3">
        <v>4.3999999999999997E-2</v>
      </c>
      <c r="E25" s="3">
        <v>1.2E-2</v>
      </c>
      <c r="G25" t="s">
        <v>76</v>
      </c>
      <c r="H25" s="9">
        <v>2.66</v>
      </c>
      <c r="I25" s="10">
        <v>2.97</v>
      </c>
      <c r="J25" s="63" t="s">
        <v>10</v>
      </c>
    </row>
    <row r="26" spans="1:10" x14ac:dyDescent="0.25">
      <c r="G26" t="s">
        <v>77</v>
      </c>
      <c r="H26" s="9">
        <v>3.19</v>
      </c>
      <c r="I26" s="10">
        <v>3.14</v>
      </c>
      <c r="J26" t="s">
        <v>11</v>
      </c>
    </row>
    <row r="27" spans="1:10" x14ac:dyDescent="0.25">
      <c r="A27" s="4" t="s">
        <v>71</v>
      </c>
      <c r="B27" s="4">
        <f>SUMPRODUCT(B22:B25,D22:D25)</f>
        <v>2.7881100000000001</v>
      </c>
      <c r="C27" s="4">
        <f>SUMPRODUCT(C22:C25,E22:E25)</f>
        <v>2.6327799999999999</v>
      </c>
      <c r="G27" t="s">
        <v>78</v>
      </c>
      <c r="H27" s="11">
        <v>3.42</v>
      </c>
      <c r="I27" s="12">
        <v>2.61</v>
      </c>
      <c r="J27" t="s">
        <v>11</v>
      </c>
    </row>
    <row r="28" spans="1:10" x14ac:dyDescent="0.25">
      <c r="A28" t="s">
        <v>37</v>
      </c>
      <c r="J28" t="s">
        <v>12</v>
      </c>
    </row>
    <row r="29" spans="1:10" x14ac:dyDescent="0.25">
      <c r="A29" t="s">
        <v>13</v>
      </c>
      <c r="B29" s="16">
        <v>1.49</v>
      </c>
      <c r="C29" s="8">
        <v>1.81</v>
      </c>
    </row>
    <row r="30" spans="1:10" x14ac:dyDescent="0.25">
      <c r="A30" t="s">
        <v>14</v>
      </c>
      <c r="B30" s="9">
        <v>2.69</v>
      </c>
      <c r="C30" s="10">
        <v>2.46</v>
      </c>
    </row>
    <row r="31" spans="1:10" x14ac:dyDescent="0.25">
      <c r="A31" t="s">
        <v>15</v>
      </c>
      <c r="B31" s="9">
        <v>2.67</v>
      </c>
      <c r="C31" s="10">
        <v>2.87</v>
      </c>
    </row>
    <row r="32" spans="1:10" x14ac:dyDescent="0.25">
      <c r="A32" t="s">
        <v>16</v>
      </c>
      <c r="B32" s="11">
        <v>2.64</v>
      </c>
      <c r="C32" s="12">
        <v>2.77</v>
      </c>
    </row>
    <row r="34" spans="1:3" x14ac:dyDescent="0.25">
      <c r="B34" t="s">
        <v>26</v>
      </c>
    </row>
    <row r="35" spans="1:3" x14ac:dyDescent="0.25">
      <c r="A35" t="s">
        <v>21</v>
      </c>
    </row>
    <row r="36" spans="1:3" x14ac:dyDescent="0.25">
      <c r="A36" t="s">
        <v>17</v>
      </c>
      <c r="B36" s="16">
        <v>1.05</v>
      </c>
      <c r="C36" s="8">
        <v>1.02</v>
      </c>
    </row>
    <row r="37" spans="1:3" x14ac:dyDescent="0.25">
      <c r="A37" t="s">
        <v>15</v>
      </c>
      <c r="B37" s="9">
        <v>1.28</v>
      </c>
      <c r="C37" s="10">
        <v>1.25</v>
      </c>
    </row>
    <row r="38" spans="1:3" x14ac:dyDescent="0.25">
      <c r="A38" t="s">
        <v>18</v>
      </c>
      <c r="B38" s="9">
        <v>1.58</v>
      </c>
      <c r="C38" s="10">
        <v>1.58</v>
      </c>
    </row>
    <row r="39" spans="1:3" x14ac:dyDescent="0.25">
      <c r="A39" t="s">
        <v>19</v>
      </c>
      <c r="B39" s="9">
        <v>1.92</v>
      </c>
      <c r="C39" s="10">
        <v>2.04</v>
      </c>
    </row>
    <row r="40" spans="1:3" x14ac:dyDescent="0.25">
      <c r="A40" t="s">
        <v>20</v>
      </c>
      <c r="B40" s="11">
        <v>2.14</v>
      </c>
      <c r="C40" s="12">
        <v>2.16</v>
      </c>
    </row>
    <row r="42" spans="1:3" x14ac:dyDescent="0.25">
      <c r="A42" t="s">
        <v>52</v>
      </c>
    </row>
    <row r="43" spans="1:3" x14ac:dyDescent="0.25">
      <c r="A43" t="s">
        <v>51</v>
      </c>
      <c r="B43" s="21" t="s">
        <v>7</v>
      </c>
      <c r="C43" s="21" t="s">
        <v>8</v>
      </c>
    </row>
    <row r="44" spans="1:3" x14ac:dyDescent="0.25">
      <c r="A44" t="s">
        <v>22</v>
      </c>
      <c r="B44" s="29">
        <v>2.77</v>
      </c>
      <c r="C44" s="30">
        <v>2.34</v>
      </c>
    </row>
    <row r="45" spans="1:3" x14ac:dyDescent="0.25">
      <c r="A45" s="1" t="s">
        <v>23</v>
      </c>
      <c r="B45" s="31">
        <v>2.65</v>
      </c>
      <c r="C45" s="32">
        <v>2.02</v>
      </c>
    </row>
    <row r="46" spans="1:3" x14ac:dyDescent="0.25">
      <c r="A46" s="1" t="s">
        <v>24</v>
      </c>
      <c r="B46" s="31">
        <v>2.16</v>
      </c>
      <c r="C46" s="32">
        <v>2.25</v>
      </c>
    </row>
    <row r="47" spans="1:3" x14ac:dyDescent="0.25">
      <c r="A47" s="1" t="s">
        <v>10</v>
      </c>
      <c r="B47" s="31">
        <v>1.99</v>
      </c>
      <c r="C47" s="32">
        <v>1.78</v>
      </c>
    </row>
    <row r="48" spans="1:3" x14ac:dyDescent="0.25">
      <c r="A48" t="s">
        <v>25</v>
      </c>
      <c r="B48" s="31">
        <v>1.4</v>
      </c>
      <c r="C48" s="32">
        <v>1.31</v>
      </c>
    </row>
    <row r="49" spans="1:3" x14ac:dyDescent="0.25">
      <c r="A49" t="s">
        <v>14</v>
      </c>
      <c r="B49" s="31">
        <v>1.22</v>
      </c>
      <c r="C49" s="32">
        <v>1.1000000000000001</v>
      </c>
    </row>
    <row r="50" spans="1:3" x14ac:dyDescent="0.25">
      <c r="A50" t="s">
        <v>15</v>
      </c>
      <c r="B50" s="31">
        <v>1.1000000000000001</v>
      </c>
      <c r="C50" s="32">
        <v>1.03</v>
      </c>
    </row>
    <row r="51" spans="1:3" x14ac:dyDescent="0.25">
      <c r="A51" t="s">
        <v>16</v>
      </c>
      <c r="B51" s="33">
        <v>1.01</v>
      </c>
      <c r="C51" s="34">
        <v>1</v>
      </c>
    </row>
  </sheetData>
  <hyperlinks>
    <hyperlink ref="B2" r:id="rId1"/>
    <hyperlink ref="B3" r:id="rId2"/>
  </hyperlinks>
  <pageMargins left="0.7" right="0.7" top="0.75" bottom="0.75" header="0.3" footer="0.3"/>
  <pageSetup orientation="portrait" verticalDpi="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B49"/>
  <sheetViews>
    <sheetView showGridLines="0" zoomScaleNormal="100" workbookViewId="0">
      <selection activeCell="H10" sqref="H10"/>
    </sheetView>
  </sheetViews>
  <sheetFormatPr defaultColWidth="6.6640625" defaultRowHeight="13.2" outlineLevelRow="1" x14ac:dyDescent="0.25"/>
  <sheetData>
    <row r="1" spans="1:28" ht="17.399999999999999" x14ac:dyDescent="0.3">
      <c r="A1" s="2" t="s">
        <v>55</v>
      </c>
    </row>
    <row r="2" spans="1:28" x14ac:dyDescent="0.25">
      <c r="A2" t="s">
        <v>50</v>
      </c>
      <c r="L2" t="s">
        <v>53</v>
      </c>
      <c r="T2" t="s">
        <v>54</v>
      </c>
    </row>
    <row r="3" spans="1:28" x14ac:dyDescent="0.25">
      <c r="C3" s="22" t="s">
        <v>46</v>
      </c>
      <c r="D3" s="22"/>
      <c r="E3" s="22"/>
      <c r="F3" s="22"/>
      <c r="G3" s="22"/>
      <c r="H3" s="22"/>
      <c r="I3" s="22"/>
      <c r="J3" s="22"/>
      <c r="L3" s="22" t="s">
        <v>46</v>
      </c>
      <c r="M3" s="22"/>
      <c r="N3" s="22"/>
      <c r="O3" s="22"/>
      <c r="P3" s="22"/>
      <c r="Q3" s="22"/>
      <c r="R3" s="22"/>
      <c r="S3" s="55"/>
      <c r="T3" s="22" t="s">
        <v>46</v>
      </c>
      <c r="U3" s="22"/>
      <c r="V3" s="22"/>
      <c r="W3" s="22"/>
      <c r="X3" s="22"/>
      <c r="Y3" s="22"/>
      <c r="Z3" s="22"/>
      <c r="AA3" s="22"/>
    </row>
    <row r="4" spans="1:28" x14ac:dyDescent="0.25">
      <c r="C4" s="19" t="s">
        <v>7</v>
      </c>
      <c r="D4" s="19"/>
      <c r="E4" s="19"/>
      <c r="F4" s="19"/>
      <c r="G4" s="19" t="s">
        <v>8</v>
      </c>
      <c r="H4" s="19"/>
      <c r="I4" s="19"/>
      <c r="J4" s="19"/>
      <c r="L4" s="19" t="s">
        <v>7</v>
      </c>
      <c r="M4" s="19"/>
      <c r="N4" s="19"/>
      <c r="O4" s="19"/>
      <c r="P4" s="19" t="s">
        <v>8</v>
      </c>
      <c r="Q4" s="19"/>
      <c r="R4" s="19"/>
      <c r="S4" s="56"/>
      <c r="T4" s="19" t="s">
        <v>7</v>
      </c>
      <c r="U4" s="19"/>
      <c r="V4" s="19"/>
      <c r="W4" s="19"/>
      <c r="X4" s="19" t="s">
        <v>8</v>
      </c>
      <c r="Y4" s="19"/>
      <c r="Z4" s="19"/>
      <c r="AA4" s="19"/>
    </row>
    <row r="5" spans="1:28" x14ac:dyDescent="0.25">
      <c r="A5" t="s">
        <v>45</v>
      </c>
      <c r="B5" t="s">
        <v>36</v>
      </c>
      <c r="C5" s="21" t="s">
        <v>25</v>
      </c>
      <c r="D5" s="21" t="s">
        <v>14</v>
      </c>
      <c r="E5" s="21" t="s">
        <v>15</v>
      </c>
      <c r="F5" s="21" t="s">
        <v>16</v>
      </c>
      <c r="G5" s="21" t="str">
        <f t="shared" ref="G5:J5" si="0">C5</f>
        <v>20-29</v>
      </c>
      <c r="H5" s="21" t="str">
        <f t="shared" si="0"/>
        <v>30-39</v>
      </c>
      <c r="I5" s="21" t="str">
        <f t="shared" si="0"/>
        <v>40-49</v>
      </c>
      <c r="J5" s="21" t="str">
        <f t="shared" si="0"/>
        <v>50+</v>
      </c>
      <c r="L5" s="21" t="s">
        <v>25</v>
      </c>
      <c r="M5" s="21" t="s">
        <v>14</v>
      </c>
      <c r="N5" s="21" t="s">
        <v>15</v>
      </c>
      <c r="O5" s="21" t="s">
        <v>16</v>
      </c>
      <c r="P5" s="21" t="str">
        <f t="shared" ref="P5" si="1">L5</f>
        <v>20-29</v>
      </c>
      <c r="Q5" s="21" t="str">
        <f t="shared" ref="Q5" si="2">M5</f>
        <v>30-39</v>
      </c>
      <c r="R5" s="21" t="str">
        <f t="shared" ref="R5" si="3">N5</f>
        <v>40-49</v>
      </c>
      <c r="S5" s="28" t="str">
        <f t="shared" ref="S5" si="4">O5</f>
        <v>50+</v>
      </c>
      <c r="T5" s="21" t="s">
        <v>25</v>
      </c>
      <c r="U5" s="21" t="s">
        <v>14</v>
      </c>
      <c r="V5" s="21" t="s">
        <v>15</v>
      </c>
      <c r="W5" s="21" t="s">
        <v>16</v>
      </c>
      <c r="X5" s="21" t="str">
        <f t="shared" ref="X5" si="5">T5</f>
        <v>20-29</v>
      </c>
      <c r="Y5" s="21" t="str">
        <f t="shared" ref="Y5" si="6">U5</f>
        <v>30-39</v>
      </c>
      <c r="Z5" s="21" t="str">
        <f t="shared" ref="Z5" si="7">V5</f>
        <v>40-49</v>
      </c>
      <c r="AA5" s="21" t="str">
        <f t="shared" ref="AA5" si="8">W5</f>
        <v>50+</v>
      </c>
    </row>
    <row r="6" spans="1:28" x14ac:dyDescent="0.25">
      <c r="A6" s="14" t="s">
        <v>42</v>
      </c>
      <c r="B6" t="s">
        <v>18</v>
      </c>
      <c r="C6" s="36">
        <f t="shared" ref="C6:E8" si="9">IF(OR(L6="–",T6="–"),#N/A,L6/(L6-T6))</f>
        <v>1.9915511997296385</v>
      </c>
      <c r="D6" s="42">
        <f t="shared" si="9"/>
        <v>2.9814126394052036</v>
      </c>
      <c r="E6" s="42">
        <f t="shared" si="9"/>
        <v>3.2872592091922939</v>
      </c>
      <c r="F6" s="37"/>
      <c r="G6" s="36">
        <f t="shared" ref="G6:I8" si="10">IF(OR(P6="–",X6="–"),#N/A,P6/(P6-X6))</f>
        <v>1.5164835164835164</v>
      </c>
      <c r="H6" s="42">
        <f t="shared" si="10"/>
        <v>1.7410989010989011</v>
      </c>
      <c r="I6" s="42">
        <f t="shared" si="10"/>
        <v>2.0184615384615383</v>
      </c>
      <c r="J6" s="37"/>
      <c r="L6" s="46">
        <v>589.29999999999995</v>
      </c>
      <c r="M6" s="47">
        <v>882.2</v>
      </c>
      <c r="N6" s="47">
        <v>972.7</v>
      </c>
      <c r="O6" s="48" t="s">
        <v>38</v>
      </c>
      <c r="P6" s="46">
        <v>345</v>
      </c>
      <c r="Q6" s="47">
        <v>396.1</v>
      </c>
      <c r="R6" s="47">
        <v>459.2</v>
      </c>
      <c r="S6" s="48" t="s">
        <v>38</v>
      </c>
      <c r="T6" s="46">
        <v>293.39999999999998</v>
      </c>
      <c r="U6" s="47">
        <v>586.29999999999995</v>
      </c>
      <c r="V6" s="47">
        <v>676.8</v>
      </c>
      <c r="W6" s="48" t="s">
        <v>38</v>
      </c>
      <c r="X6" s="46">
        <v>117.5</v>
      </c>
      <c r="Y6" s="47">
        <v>168.6</v>
      </c>
      <c r="Z6" s="47">
        <v>231.7</v>
      </c>
      <c r="AA6" s="48" t="s">
        <v>38</v>
      </c>
      <c r="AB6" s="45"/>
    </row>
    <row r="7" spans="1:28" x14ac:dyDescent="0.25">
      <c r="A7" s="14" t="s">
        <v>42</v>
      </c>
      <c r="B7" t="s">
        <v>19</v>
      </c>
      <c r="C7" s="38">
        <f t="shared" si="9"/>
        <v>1.6213939533810293</v>
      </c>
      <c r="D7" s="43">
        <f t="shared" si="9"/>
        <v>1.8504500346180477</v>
      </c>
      <c r="E7" s="43">
        <f t="shared" si="9"/>
        <v>2.2469420724671125</v>
      </c>
      <c r="F7" s="39">
        <f>IF(OR(O7="–",W7="–"),#N/A,O7/(O7-W7))</f>
        <v>3.2138241403184864</v>
      </c>
      <c r="G7" s="38">
        <f t="shared" si="10"/>
        <v>1.4004937333839726</v>
      </c>
      <c r="H7" s="43">
        <f t="shared" si="10"/>
        <v>1.4789213824534753</v>
      </c>
      <c r="I7" s="43">
        <f t="shared" si="10"/>
        <v>2.141473604253703</v>
      </c>
      <c r="J7" s="39">
        <f>IF(OR(S7="–",AA7="–"),#N/A,S7/(S7-AA7))</f>
        <v>2.8746676794530956</v>
      </c>
      <c r="L7" s="49">
        <v>1405.1</v>
      </c>
      <c r="M7" s="50">
        <v>1603.6</v>
      </c>
      <c r="N7" s="50">
        <v>1947.2</v>
      </c>
      <c r="O7" s="51">
        <v>2785.1</v>
      </c>
      <c r="P7" s="49">
        <v>737.5</v>
      </c>
      <c r="Q7" s="50">
        <v>778.8</v>
      </c>
      <c r="R7" s="50">
        <v>1127.7</v>
      </c>
      <c r="S7" s="51">
        <v>1513.8</v>
      </c>
      <c r="T7" s="49">
        <v>538.5</v>
      </c>
      <c r="U7" s="50">
        <v>737</v>
      </c>
      <c r="V7" s="50">
        <v>1080.5999999999999</v>
      </c>
      <c r="W7" s="51">
        <v>1918.5</v>
      </c>
      <c r="X7" s="49">
        <v>210.9</v>
      </c>
      <c r="Y7" s="50">
        <v>252.2</v>
      </c>
      <c r="Z7" s="50">
        <v>601.1</v>
      </c>
      <c r="AA7" s="51">
        <v>987.2</v>
      </c>
      <c r="AB7" s="45"/>
    </row>
    <row r="8" spans="1:28" x14ac:dyDescent="0.25">
      <c r="A8" s="14" t="s">
        <v>42</v>
      </c>
      <c r="B8" t="s">
        <v>39</v>
      </c>
      <c r="C8" s="38">
        <f t="shared" si="9"/>
        <v>1.2188454868279792</v>
      </c>
      <c r="D8" s="43">
        <f t="shared" si="9"/>
        <v>1.6812701296556281</v>
      </c>
      <c r="E8" s="43">
        <f t="shared" si="9"/>
        <v>1.7069947972582376</v>
      </c>
      <c r="F8" s="39">
        <f>IF(OR(O8="–",W8="–"),#N/A,O8/(O8-W8))</f>
        <v>2.2761582294161369</v>
      </c>
      <c r="G8" s="38">
        <f t="shared" si="10"/>
        <v>1.1195525857059847</v>
      </c>
      <c r="H8" s="43">
        <f t="shared" si="10"/>
        <v>1.784209761766415</v>
      </c>
      <c r="I8" s="43">
        <f t="shared" si="10"/>
        <v>1.3947559558396281</v>
      </c>
      <c r="J8" s="39">
        <f>IF(OR(S8="–",AA8="–"),#N/A,S8/(S8-AA8))</f>
        <v>1.8642504357931438</v>
      </c>
      <c r="L8" s="49">
        <v>2951.8</v>
      </c>
      <c r="M8" s="50">
        <v>4071.7</v>
      </c>
      <c r="N8" s="50">
        <v>4134</v>
      </c>
      <c r="O8" s="51">
        <v>5512.4</v>
      </c>
      <c r="P8" s="49">
        <v>1541.4</v>
      </c>
      <c r="Q8" s="50">
        <v>2456.5</v>
      </c>
      <c r="R8" s="50">
        <v>1920.3</v>
      </c>
      <c r="S8" s="51">
        <v>2566.6999999999998</v>
      </c>
      <c r="T8" s="49">
        <v>530</v>
      </c>
      <c r="U8" s="50">
        <v>1649.9</v>
      </c>
      <c r="V8" s="50">
        <v>1712.2</v>
      </c>
      <c r="W8" s="51">
        <v>3090.6</v>
      </c>
      <c r="X8" s="49">
        <v>164.6</v>
      </c>
      <c r="Y8" s="50">
        <v>1079.7</v>
      </c>
      <c r="Z8" s="50">
        <v>543.5</v>
      </c>
      <c r="AA8" s="51">
        <v>1189.9000000000001</v>
      </c>
      <c r="AB8" s="45"/>
    </row>
    <row r="9" spans="1:28" outlineLevel="1" x14ac:dyDescent="0.25">
      <c r="A9" s="14"/>
      <c r="C9" s="38"/>
      <c r="D9" s="43"/>
      <c r="E9" s="43"/>
      <c r="F9" s="39"/>
      <c r="G9" s="38"/>
      <c r="H9" s="43"/>
      <c r="I9" s="43"/>
      <c r="J9" s="39"/>
      <c r="L9" s="49"/>
      <c r="M9" s="50"/>
      <c r="N9" s="50"/>
      <c r="O9" s="51"/>
      <c r="P9" s="49"/>
      <c r="Q9" s="50"/>
      <c r="R9" s="50"/>
      <c r="S9" s="51"/>
      <c r="T9" s="9"/>
      <c r="U9" s="17"/>
      <c r="V9" s="17"/>
      <c r="W9" s="10"/>
      <c r="X9" s="9"/>
      <c r="Y9" s="17"/>
      <c r="Z9" s="17"/>
      <c r="AA9" s="10"/>
    </row>
    <row r="10" spans="1:28" outlineLevel="1" x14ac:dyDescent="0.25">
      <c r="A10" s="1" t="s">
        <v>43</v>
      </c>
      <c r="B10" t="s">
        <v>18</v>
      </c>
      <c r="C10" s="38">
        <f t="shared" ref="C10:C12" si="11">IF(OR(L10="–",T10="–"),#N/A,L10/(L10-T10))</f>
        <v>2.0243325447786416</v>
      </c>
      <c r="D10" s="43">
        <f t="shared" ref="D10:D12" si="12">IF(OR(M10="–",U10="–"),#N/A,M10/(M10-U10))</f>
        <v>2.8793511321392367</v>
      </c>
      <c r="E10" s="43">
        <f t="shared" ref="E10:E12" si="13">IF(OR(N10="–",V10="–"),#N/A,N10/(N10-V10))</f>
        <v>4.7593781683001035</v>
      </c>
      <c r="F10" s="81"/>
      <c r="G10" s="38">
        <f t="shared" ref="G10:G12" si="14">IF(OR(P10="–",X10="–"),#N/A,P10/(P10-X10))</f>
        <v>1.7221978021978022</v>
      </c>
      <c r="H10" s="43">
        <f t="shared" ref="H10:H12" si="15">IF(OR(Q10="–",Y10="–"),#N/A,Q10/(Q10-Y10))</f>
        <v>2.2879120879120878</v>
      </c>
      <c r="I10" s="43">
        <f t="shared" ref="I10:I12" si="16">IF(OR(R10="–",Z10="–"),#N/A,R10/(R10-Z10))</f>
        <v>2.9569230769230765</v>
      </c>
      <c r="J10" s="39"/>
      <c r="L10" s="49">
        <v>599</v>
      </c>
      <c r="M10" s="50">
        <v>852</v>
      </c>
      <c r="N10" s="50">
        <v>1408.3</v>
      </c>
      <c r="O10" s="51">
        <v>3378.9</v>
      </c>
      <c r="P10" s="49">
        <v>391.8</v>
      </c>
      <c r="Q10" s="50">
        <v>520.5</v>
      </c>
      <c r="R10" s="50">
        <v>672.7</v>
      </c>
      <c r="S10" s="51" t="s">
        <v>38</v>
      </c>
      <c r="T10" s="49">
        <v>303.10000000000002</v>
      </c>
      <c r="U10" s="50">
        <v>556.1</v>
      </c>
      <c r="V10" s="50">
        <v>1112.4000000000001</v>
      </c>
      <c r="W10" s="51">
        <v>3083</v>
      </c>
      <c r="X10" s="49">
        <v>164.3</v>
      </c>
      <c r="Y10" s="50">
        <v>293</v>
      </c>
      <c r="Z10" s="50">
        <v>445.2</v>
      </c>
      <c r="AA10" s="51" t="s">
        <v>38</v>
      </c>
      <c r="AB10" s="45"/>
    </row>
    <row r="11" spans="1:28" outlineLevel="1" x14ac:dyDescent="0.25">
      <c r="A11" s="1" t="s">
        <v>43</v>
      </c>
      <c r="B11" t="s">
        <v>19</v>
      </c>
      <c r="C11" s="38">
        <f t="shared" si="11"/>
        <v>1.9380336948996075</v>
      </c>
      <c r="D11" s="43">
        <f t="shared" si="12"/>
        <v>1.821601661666282</v>
      </c>
      <c r="E11" s="43">
        <f t="shared" si="13"/>
        <v>2.7971382414031853</v>
      </c>
      <c r="F11" s="39">
        <f t="shared" ref="F10:F12" si="17">IF(OR(O11="–",W11="–"),#N/A,O11/(O11-W11))</f>
        <v>4.259173782598662</v>
      </c>
      <c r="G11" s="38">
        <f t="shared" si="14"/>
        <v>1.9348651728066846</v>
      </c>
      <c r="H11" s="43">
        <f t="shared" si="15"/>
        <v>2.276490695024687</v>
      </c>
      <c r="I11" s="43">
        <f t="shared" si="16"/>
        <v>2.6230535510824158</v>
      </c>
      <c r="J11" s="39">
        <f>IF(OR(S11="–",AA11="–"),#N/A,S11/(S11-AA11))</f>
        <v>4.3290922901633122</v>
      </c>
      <c r="L11" s="49">
        <v>1679.5</v>
      </c>
      <c r="M11" s="50">
        <v>1578.6</v>
      </c>
      <c r="N11" s="50">
        <v>2424</v>
      </c>
      <c r="O11" s="51">
        <v>3691</v>
      </c>
      <c r="P11" s="49">
        <v>1018.9</v>
      </c>
      <c r="Q11" s="50">
        <v>1198.8</v>
      </c>
      <c r="R11" s="50">
        <v>1381.3</v>
      </c>
      <c r="S11" s="51">
        <v>2279.6999999999998</v>
      </c>
      <c r="T11" s="49">
        <v>812.9</v>
      </c>
      <c r="U11" s="50">
        <v>712</v>
      </c>
      <c r="V11" s="50">
        <v>1557.4</v>
      </c>
      <c r="W11" s="51">
        <v>2824.4</v>
      </c>
      <c r="X11" s="49">
        <v>492.3</v>
      </c>
      <c r="Y11" s="50">
        <v>672.2</v>
      </c>
      <c r="Z11" s="50">
        <v>854.7</v>
      </c>
      <c r="AA11" s="51">
        <v>1753.1</v>
      </c>
      <c r="AB11" s="45"/>
    </row>
    <row r="12" spans="1:28" outlineLevel="1" x14ac:dyDescent="0.25">
      <c r="A12" s="1" t="s">
        <v>43</v>
      </c>
      <c r="B12" t="s">
        <v>39</v>
      </c>
      <c r="C12" s="38">
        <f t="shared" si="11"/>
        <v>2.1574448757122804</v>
      </c>
      <c r="D12" s="43">
        <f t="shared" si="12"/>
        <v>1.3154678338425965</v>
      </c>
      <c r="E12" s="43">
        <f t="shared" si="13"/>
        <v>1.9239408704269552</v>
      </c>
      <c r="F12" s="39">
        <f t="shared" si="17"/>
        <v>2.5367495251465848</v>
      </c>
      <c r="G12" s="38">
        <f t="shared" si="14"/>
        <v>1.3829895409645554</v>
      </c>
      <c r="H12" s="43">
        <f t="shared" si="15"/>
        <v>1.9427658338175477</v>
      </c>
      <c r="I12" s="43">
        <f t="shared" si="16"/>
        <v>1.9235183033120278</v>
      </c>
      <c r="J12" s="39">
        <f>IF(OR(S12="–",AA12="–"),#N/A,S12/(S12-AA12))</f>
        <v>2.4055781522370716</v>
      </c>
      <c r="L12" s="49">
        <v>5224.8999999999996</v>
      </c>
      <c r="M12" s="50">
        <v>3185.8</v>
      </c>
      <c r="N12" s="50">
        <v>4659.3999999999996</v>
      </c>
      <c r="O12" s="51">
        <v>6143.5</v>
      </c>
      <c r="P12" s="49">
        <v>1904.1</v>
      </c>
      <c r="Q12" s="50">
        <v>2674.8</v>
      </c>
      <c r="R12" s="50">
        <v>2648.3</v>
      </c>
      <c r="S12" s="51">
        <v>3312</v>
      </c>
      <c r="T12" s="49">
        <v>2803.1</v>
      </c>
      <c r="U12" s="50">
        <v>764</v>
      </c>
      <c r="V12" s="50">
        <v>2237.6</v>
      </c>
      <c r="W12" s="51">
        <v>3721.7</v>
      </c>
      <c r="X12" s="49">
        <v>527.29999999999995</v>
      </c>
      <c r="Y12" s="50">
        <v>1298</v>
      </c>
      <c r="Z12" s="50">
        <v>1271.5</v>
      </c>
      <c r="AA12" s="51">
        <v>1935.2</v>
      </c>
    </row>
    <row r="13" spans="1:28" x14ac:dyDescent="0.25">
      <c r="A13" s="1"/>
      <c r="C13" s="38"/>
      <c r="D13" s="43"/>
      <c r="E13" s="43"/>
      <c r="F13" s="39"/>
      <c r="G13" s="38"/>
      <c r="H13" s="43"/>
      <c r="I13" s="43"/>
      <c r="J13" s="39"/>
      <c r="L13" s="49"/>
      <c r="M13" s="50"/>
      <c r="N13" s="50"/>
      <c r="O13" s="51"/>
      <c r="P13" s="49"/>
      <c r="Q13" s="50"/>
      <c r="R13" s="50"/>
      <c r="S13" s="51"/>
      <c r="T13" s="9"/>
      <c r="U13" s="17"/>
      <c r="V13" s="17"/>
      <c r="W13" s="10"/>
      <c r="X13" s="9"/>
      <c r="Y13" s="17"/>
      <c r="Z13" s="17"/>
      <c r="AA13" s="10"/>
      <c r="AB13" s="45"/>
    </row>
    <row r="14" spans="1:28" x14ac:dyDescent="0.25">
      <c r="A14" t="s">
        <v>40</v>
      </c>
      <c r="B14" t="s">
        <v>18</v>
      </c>
      <c r="C14" s="38">
        <f>IF(OR(L14="–",T14="–"),#N/A,L14/(L14-T14))</f>
        <v>2.083812098681987</v>
      </c>
      <c r="D14" s="43">
        <f t="shared" ref="D14:D16" si="18">IF(OR(M14="–",U14="–"),#N/A,M14/(M14-U14))</f>
        <v>2.6525853328827309</v>
      </c>
      <c r="E14" s="43">
        <f t="shared" ref="E14:E16" si="19">IF(OR(N14="–",V14="–"),#N/A,N14/(N14-V14))</f>
        <v>4.2875971612031076</v>
      </c>
      <c r="F14" s="39"/>
      <c r="G14" s="38">
        <f t="shared" ref="G14:G16" si="20">IF(OR(P14="–",X14="–"),#N/A,P14/(P14-X14))</f>
        <v>1.6487912087912087</v>
      </c>
      <c r="H14" s="43">
        <f t="shared" ref="H14:H16" si="21">IF(OR(Q14="–",Y14="–"),#N/A,Q14/(Q14-Y14))</f>
        <v>2.607472527472527</v>
      </c>
      <c r="I14" s="43">
        <f t="shared" ref="I14:I16" si="22">IF(OR(R14="–",Z14="–"),#N/A,R14/(R14-Z14))</f>
        <v>3.6325274725274723</v>
      </c>
      <c r="J14" s="39"/>
      <c r="L14" s="49">
        <v>616.6</v>
      </c>
      <c r="M14" s="50">
        <v>784.9</v>
      </c>
      <c r="N14" s="50">
        <v>1268.7</v>
      </c>
      <c r="O14" s="51">
        <v>740.2</v>
      </c>
      <c r="P14" s="49">
        <v>375.1</v>
      </c>
      <c r="Q14" s="50">
        <v>593.20000000000005</v>
      </c>
      <c r="R14" s="50">
        <v>826.4</v>
      </c>
      <c r="S14" s="51" t="s">
        <v>38</v>
      </c>
      <c r="T14" s="49">
        <v>320.7</v>
      </c>
      <c r="U14" s="50">
        <v>489</v>
      </c>
      <c r="V14" s="50">
        <v>972.8</v>
      </c>
      <c r="W14" s="51" t="s">
        <v>38</v>
      </c>
      <c r="X14" s="49">
        <v>147.6</v>
      </c>
      <c r="Y14" s="50">
        <v>365.7</v>
      </c>
      <c r="Z14" s="50">
        <v>598.9</v>
      </c>
      <c r="AA14" s="51" t="s">
        <v>38</v>
      </c>
      <c r="AB14" s="45"/>
    </row>
    <row r="15" spans="1:28" x14ac:dyDescent="0.25">
      <c r="A15" t="s">
        <v>40</v>
      </c>
      <c r="B15" t="s">
        <v>19</v>
      </c>
      <c r="C15" s="38">
        <f>IF(OR(L15="–",T15="–"),#N/A,L15/(L15-T15))</f>
        <v>2.0091160858527579</v>
      </c>
      <c r="D15" s="43">
        <f t="shared" si="18"/>
        <v>1.6842834064158783</v>
      </c>
      <c r="E15" s="43">
        <f t="shared" si="19"/>
        <v>2.6037387491345485</v>
      </c>
      <c r="F15" s="39">
        <f>IF(OR(O15="–",W15="–"),#N/A,O15/(O15-W15))</f>
        <v>4.3736441264712669</v>
      </c>
      <c r="G15" s="38">
        <f t="shared" si="20"/>
        <v>1.7085074060007597</v>
      </c>
      <c r="H15" s="43">
        <f t="shared" si="21"/>
        <v>1.7164830991264719</v>
      </c>
      <c r="I15" s="43">
        <f t="shared" si="22"/>
        <v>2.9276490695024688</v>
      </c>
      <c r="J15" s="39">
        <f>IF(OR(S15="–",AA15="–"),#N/A,S15/(S15-AA15))</f>
        <v>3.9027725028484621</v>
      </c>
      <c r="L15" s="49">
        <v>1741.1</v>
      </c>
      <c r="M15" s="50">
        <v>1459.6</v>
      </c>
      <c r="N15" s="50">
        <v>2256.4</v>
      </c>
      <c r="O15" s="51">
        <v>3790.2</v>
      </c>
      <c r="P15" s="49">
        <v>899.7</v>
      </c>
      <c r="Q15" s="50">
        <v>903.9</v>
      </c>
      <c r="R15" s="50">
        <v>1541.7</v>
      </c>
      <c r="S15" s="51">
        <v>2055.1999999999998</v>
      </c>
      <c r="T15" s="49">
        <v>874.5</v>
      </c>
      <c r="U15" s="50">
        <v>593</v>
      </c>
      <c r="V15" s="50">
        <v>1389.8</v>
      </c>
      <c r="W15" s="51">
        <v>2923.6</v>
      </c>
      <c r="X15" s="49">
        <v>373.1</v>
      </c>
      <c r="Y15" s="50">
        <v>377.3</v>
      </c>
      <c r="Z15" s="50">
        <v>1015.1</v>
      </c>
      <c r="AA15" s="51">
        <v>1528.6</v>
      </c>
    </row>
    <row r="16" spans="1:28" x14ac:dyDescent="0.25">
      <c r="A16" t="s">
        <v>40</v>
      </c>
      <c r="B16" t="s">
        <v>39</v>
      </c>
      <c r="C16" s="38"/>
      <c r="D16" s="43">
        <f t="shared" si="18"/>
        <v>1.8265339829878602</v>
      </c>
      <c r="E16" s="43">
        <f t="shared" si="19"/>
        <v>1.8485836980758115</v>
      </c>
      <c r="F16" s="39">
        <f>IF(OR(O16="–",W16="–"),#N/A,O16/(O16-W16))</f>
        <v>2.4778677017094726</v>
      </c>
      <c r="G16" s="38">
        <f t="shared" si="20"/>
        <v>4.0265107495642063</v>
      </c>
      <c r="H16" s="43">
        <f t="shared" si="21"/>
        <v>1.5411824520627542</v>
      </c>
      <c r="I16" s="43">
        <f t="shared" si="22"/>
        <v>1.9348489250435792</v>
      </c>
      <c r="J16" s="39">
        <f>IF(OR(S16="–",AA16="–"),#N/A,S16/(S16-AA16))</f>
        <v>2.294233004067403</v>
      </c>
      <c r="L16" s="49" t="s">
        <v>38</v>
      </c>
      <c r="M16" s="50">
        <v>4423.5</v>
      </c>
      <c r="N16" s="50">
        <v>4476.8999999999996</v>
      </c>
      <c r="O16" s="51">
        <v>6000.9</v>
      </c>
      <c r="P16" s="49">
        <v>5543.7</v>
      </c>
      <c r="Q16" s="50">
        <v>2121.9</v>
      </c>
      <c r="R16" s="50">
        <v>2663.9</v>
      </c>
      <c r="S16" s="51">
        <v>3158.7</v>
      </c>
      <c r="T16" s="49" t="s">
        <v>38</v>
      </c>
      <c r="U16" s="50">
        <v>2001.7</v>
      </c>
      <c r="V16" s="50">
        <v>2055.1</v>
      </c>
      <c r="W16" s="51">
        <v>3579.1</v>
      </c>
      <c r="X16" s="49">
        <v>4166.8999999999996</v>
      </c>
      <c r="Y16" s="50">
        <v>745.1</v>
      </c>
      <c r="Z16" s="50">
        <v>1287.0999999999999</v>
      </c>
      <c r="AA16" s="51">
        <v>1781.9</v>
      </c>
      <c r="AB16" s="45"/>
    </row>
    <row r="17" spans="1:28" outlineLevel="1" x14ac:dyDescent="0.25">
      <c r="C17" s="38"/>
      <c r="D17" s="43"/>
      <c r="E17" s="43"/>
      <c r="F17" s="39"/>
      <c r="G17" s="38"/>
      <c r="H17" s="43"/>
      <c r="I17" s="43"/>
      <c r="J17" s="39"/>
      <c r="L17" s="49"/>
      <c r="M17" s="50"/>
      <c r="N17" s="50"/>
      <c r="O17" s="51"/>
      <c r="P17" s="49"/>
      <c r="Q17" s="50"/>
      <c r="R17" s="50"/>
      <c r="S17" s="51"/>
      <c r="T17" s="9"/>
      <c r="U17" s="17"/>
      <c r="V17" s="17"/>
      <c r="W17" s="10"/>
      <c r="X17" s="9"/>
      <c r="Y17" s="17"/>
      <c r="Z17" s="17"/>
      <c r="AA17" s="10"/>
      <c r="AB17" s="45"/>
    </row>
    <row r="18" spans="1:28" outlineLevel="1" x14ac:dyDescent="0.25">
      <c r="A18" s="1" t="s">
        <v>44</v>
      </c>
      <c r="B18" t="s">
        <v>18</v>
      </c>
      <c r="C18" s="38">
        <f>IF(OR(L18="–",T18="–"),#N/A,L18/(L18-T18))</f>
        <v>2.4981412639405205</v>
      </c>
      <c r="D18" s="43">
        <f t="shared" ref="D18:D20" si="23">IF(OR(M18="–",U18="–"),#N/A,M18/(M18-U18))</f>
        <v>3.2467049678945581</v>
      </c>
      <c r="E18" s="43">
        <f t="shared" ref="E18:E20" si="24">IF(OR(N18="–",V18="–"),#N/A,N18/(N18-V18))</f>
        <v>4.7789793849273421</v>
      </c>
      <c r="F18" s="81"/>
      <c r="G18" s="38">
        <f t="shared" ref="G18:G20" si="25">IF(OR(P18="–",X18="–"),#N/A,P18/(P18-X18))</f>
        <v>1.9582417582417582</v>
      </c>
      <c r="H18" s="43">
        <f t="shared" ref="H18:H20" si="26">IF(OR(Q18="–",Y18="–"),#N/A,Q18/(Q18-Y18))</f>
        <v>2.9705494505494512</v>
      </c>
      <c r="I18" s="43">
        <f t="shared" ref="I18:I20" si="27">IF(OR(R18="–",Z18="–"),#N/A,R18/(R18-Z18))</f>
        <v>4.0690109890109891</v>
      </c>
      <c r="J18" s="39"/>
      <c r="L18" s="49">
        <v>739.2</v>
      </c>
      <c r="M18" s="50">
        <v>960.7</v>
      </c>
      <c r="N18" s="50">
        <v>1414.1</v>
      </c>
      <c r="O18" s="51">
        <v>3986.7</v>
      </c>
      <c r="P18" s="49">
        <v>445.5</v>
      </c>
      <c r="Q18" s="50">
        <v>675.8</v>
      </c>
      <c r="R18" s="50">
        <v>925.7</v>
      </c>
      <c r="S18" s="51" t="s">
        <v>38</v>
      </c>
      <c r="T18" s="49">
        <v>443.3</v>
      </c>
      <c r="U18" s="50">
        <v>664.8</v>
      </c>
      <c r="V18" s="50">
        <v>1118.2</v>
      </c>
      <c r="W18" s="51">
        <v>3690.8</v>
      </c>
      <c r="X18" s="49">
        <v>218</v>
      </c>
      <c r="Y18" s="50">
        <v>448.3</v>
      </c>
      <c r="Z18" s="50">
        <v>698.2</v>
      </c>
      <c r="AA18" s="51" t="s">
        <v>38</v>
      </c>
    </row>
    <row r="19" spans="1:28" outlineLevel="1" x14ac:dyDescent="0.25">
      <c r="A19" s="1" t="s">
        <v>44</v>
      </c>
      <c r="B19" t="s">
        <v>19</v>
      </c>
      <c r="C19" s="38">
        <f>IF(OR(L19="–",T19="–"),#N/A,L19/(L19-T19))</f>
        <v>0.90537733671820908</v>
      </c>
      <c r="D19" s="43">
        <f t="shared" si="23"/>
        <v>2.2133625663512579</v>
      </c>
      <c r="E19" s="43">
        <f t="shared" si="24"/>
        <v>2.9719593814908842</v>
      </c>
      <c r="F19" s="39">
        <f t="shared" ref="F18:F20" si="28">IF(OR(O19="–",W19="–"),#N/A,O19/(O19-W19))</f>
        <v>3.991576275098085</v>
      </c>
      <c r="G19" s="38">
        <f t="shared" si="25"/>
        <v>0.98233953665020901</v>
      </c>
      <c r="H19" s="43">
        <f t="shared" si="26"/>
        <v>2.2136346372958604</v>
      </c>
      <c r="I19" s="43">
        <f t="shared" si="27"/>
        <v>3.0020888720091143</v>
      </c>
      <c r="J19" s="39">
        <f>IF(OR(S19="–",AA19="–"),#N/A,S19/(S19-AA19))</f>
        <v>4.6731864793011759</v>
      </c>
      <c r="L19" s="49">
        <v>784.6</v>
      </c>
      <c r="M19" s="50">
        <v>1918.1</v>
      </c>
      <c r="N19" s="50">
        <v>2575.5</v>
      </c>
      <c r="O19" s="51">
        <v>3459.1</v>
      </c>
      <c r="P19" s="49">
        <v>517.29999999999995</v>
      </c>
      <c r="Q19" s="50">
        <v>1165.7</v>
      </c>
      <c r="R19" s="50">
        <v>1580.9</v>
      </c>
      <c r="S19" s="51">
        <v>2460.9</v>
      </c>
      <c r="T19" s="49">
        <v>-82</v>
      </c>
      <c r="U19" s="50">
        <v>1051.5</v>
      </c>
      <c r="V19" s="50">
        <v>1708.9</v>
      </c>
      <c r="W19" s="51">
        <v>2592.5</v>
      </c>
      <c r="X19" s="49">
        <v>-9.3000000000000007</v>
      </c>
      <c r="Y19" s="50">
        <v>639.1</v>
      </c>
      <c r="Z19" s="50">
        <v>1054.3</v>
      </c>
      <c r="AA19" s="51">
        <v>1934.3</v>
      </c>
      <c r="AB19" s="45"/>
    </row>
    <row r="20" spans="1:28" outlineLevel="1" x14ac:dyDescent="0.25">
      <c r="A20" s="1" t="s">
        <v>44</v>
      </c>
      <c r="B20" t="s">
        <v>39</v>
      </c>
      <c r="C20" s="38"/>
      <c r="D20" s="43">
        <f t="shared" si="23"/>
        <v>1.4962424642827648</v>
      </c>
      <c r="E20" s="43">
        <f t="shared" si="24"/>
        <v>2.3902056321744158</v>
      </c>
      <c r="F20" s="39">
        <f t="shared" si="28"/>
        <v>2.6049632504748534</v>
      </c>
      <c r="G20" s="38">
        <f t="shared" si="25"/>
        <v>2.6700319581638587</v>
      </c>
      <c r="H20" s="43">
        <f t="shared" si="26"/>
        <v>2.4576554328878562</v>
      </c>
      <c r="I20" s="43">
        <f t="shared" si="27"/>
        <v>1.9739250435793145</v>
      </c>
      <c r="J20" s="39">
        <f>IF(OR(S20="–",AA20="–"),#N/A,S20/(S20-AA20))</f>
        <v>2.8063625798954095</v>
      </c>
      <c r="L20" s="49">
        <v>6234.4</v>
      </c>
      <c r="M20" s="50">
        <v>3623.6</v>
      </c>
      <c r="N20" s="50">
        <v>5788.6</v>
      </c>
      <c r="O20" s="51">
        <v>6308.7</v>
      </c>
      <c r="P20" s="49">
        <v>3676.1</v>
      </c>
      <c r="Q20" s="50">
        <v>3383.7</v>
      </c>
      <c r="R20" s="50">
        <v>2717.7</v>
      </c>
      <c r="S20" s="51">
        <v>3863.8</v>
      </c>
      <c r="T20" s="49" t="s">
        <v>38</v>
      </c>
      <c r="U20" s="50">
        <v>1201.8</v>
      </c>
      <c r="V20" s="50">
        <v>3366.8</v>
      </c>
      <c r="W20" s="51">
        <v>3886.9</v>
      </c>
      <c r="X20" s="49">
        <v>2299.3000000000002</v>
      </c>
      <c r="Y20" s="50">
        <v>2006.9</v>
      </c>
      <c r="Z20" s="50">
        <v>1340.9</v>
      </c>
      <c r="AA20" s="51">
        <v>2487</v>
      </c>
      <c r="AB20" s="45"/>
    </row>
    <row r="21" spans="1:28" x14ac:dyDescent="0.25">
      <c r="A21" s="1"/>
      <c r="C21" s="38"/>
      <c r="D21" s="43"/>
      <c r="E21" s="43"/>
      <c r="F21" s="39"/>
      <c r="G21" s="38"/>
      <c r="H21" s="43"/>
      <c r="I21" s="43"/>
      <c r="J21" s="39"/>
      <c r="L21" s="49"/>
      <c r="M21" s="50"/>
      <c r="N21" s="50"/>
      <c r="O21" s="51"/>
      <c r="P21" s="49"/>
      <c r="Q21" s="50"/>
      <c r="R21" s="50"/>
      <c r="S21" s="51"/>
      <c r="T21" s="9"/>
      <c r="U21" s="17"/>
      <c r="V21" s="17"/>
      <c r="W21" s="10"/>
      <c r="X21" s="9"/>
      <c r="Y21" s="17"/>
      <c r="Z21" s="17"/>
      <c r="AA21" s="10"/>
    </row>
    <row r="22" spans="1:28" x14ac:dyDescent="0.25">
      <c r="A22" t="s">
        <v>41</v>
      </c>
      <c r="B22" t="s">
        <v>18</v>
      </c>
      <c r="C22" s="38">
        <f>IF(OR(L22="–",T22="–"),#N/A,L22/(L22-T22))</f>
        <v>2.4261574856370398</v>
      </c>
      <c r="D22" s="43">
        <f>IF(OR(M22="–",U22="–"),#N/A,M22/(M22-U22))</f>
        <v>3.2382561676241965</v>
      </c>
      <c r="E22" s="43">
        <f t="shared" ref="E22:E24" si="29">IF(OR(N22="–",V22="–"),#N/A,N22/(N22-V22))</f>
        <v>5.8144643460628576</v>
      </c>
      <c r="F22" s="39"/>
      <c r="G22" s="38">
        <f>IF(OR(P22="–",X22="–"),#N/A,P22/(P22-X22))</f>
        <v>2.381538461538462</v>
      </c>
      <c r="H22" s="43">
        <f t="shared" ref="H22:H24" si="30">IF(OR(Q22="–",Y22="–"),#N/A,Q22/(Q22-Y22))</f>
        <v>3.3978021978021977</v>
      </c>
      <c r="I22" s="43">
        <f t="shared" ref="I22:I24" si="31">IF(OR(R22="–",Z22="–"),#N/A,R22/(R22-Z22))</f>
        <v>4.7010989010989013</v>
      </c>
      <c r="J22" s="39"/>
      <c r="L22" s="49">
        <v>717.9</v>
      </c>
      <c r="M22" s="50">
        <v>958.2</v>
      </c>
      <c r="N22" s="50">
        <v>1720.5</v>
      </c>
      <c r="O22" s="51" t="s">
        <v>38</v>
      </c>
      <c r="P22" s="49">
        <v>541.79999999999995</v>
      </c>
      <c r="Q22" s="50">
        <v>773</v>
      </c>
      <c r="R22" s="50">
        <v>1069.5</v>
      </c>
      <c r="S22" s="51" t="s">
        <v>38</v>
      </c>
      <c r="T22" s="49">
        <v>422</v>
      </c>
      <c r="U22" s="50">
        <v>662.3</v>
      </c>
      <c r="V22" s="50">
        <v>1424.6</v>
      </c>
      <c r="W22" s="51" t="s">
        <v>38</v>
      </c>
      <c r="X22" s="49">
        <v>314.3</v>
      </c>
      <c r="Y22" s="50">
        <v>545.5</v>
      </c>
      <c r="Z22" s="50">
        <v>842</v>
      </c>
      <c r="AA22" s="51" t="s">
        <v>38</v>
      </c>
    </row>
    <row r="23" spans="1:28" x14ac:dyDescent="0.25">
      <c r="A23" t="s">
        <v>41</v>
      </c>
      <c r="B23" t="s">
        <v>19</v>
      </c>
      <c r="C23" s="38"/>
      <c r="D23" s="43">
        <f>IF(OR(M23="–",U23="–"),#N/A,M23/(M23-U23))</f>
        <v>1.9576505885068081</v>
      </c>
      <c r="E23" s="43">
        <f t="shared" si="29"/>
        <v>2.9330717747519039</v>
      </c>
      <c r="F23" s="39">
        <f>IF(OR(O23="–",W23="–"),#N/A,O23/(O23-W23))</f>
        <v>3.9491114701130843</v>
      </c>
      <c r="G23" s="38"/>
      <c r="H23" s="43">
        <f t="shared" si="30"/>
        <v>1.5438663121914167</v>
      </c>
      <c r="I23" s="43">
        <f t="shared" si="31"/>
        <v>4.4303076338777068</v>
      </c>
      <c r="J23" s="39">
        <f>IF(OR(S23="–",AA23="–"),#N/A,S23/(S23-AA23))</f>
        <v>2.8638435244967719</v>
      </c>
      <c r="L23" s="49" t="s">
        <v>38</v>
      </c>
      <c r="M23" s="50">
        <v>1696.5</v>
      </c>
      <c r="N23" s="50">
        <v>2541.8000000000002</v>
      </c>
      <c r="O23" s="51">
        <v>3422.3</v>
      </c>
      <c r="P23" s="49" t="s">
        <v>38</v>
      </c>
      <c r="Q23" s="50">
        <v>813</v>
      </c>
      <c r="R23" s="50">
        <v>2333</v>
      </c>
      <c r="S23" s="51">
        <v>1508.1</v>
      </c>
      <c r="T23" s="49" t="s">
        <v>38</v>
      </c>
      <c r="U23" s="50">
        <v>829.9</v>
      </c>
      <c r="V23" s="50">
        <v>1675.2</v>
      </c>
      <c r="W23" s="51">
        <v>2555.6999999999998</v>
      </c>
      <c r="X23" s="49" t="s">
        <v>38</v>
      </c>
      <c r="Y23" s="50">
        <v>286.39999999999998</v>
      </c>
      <c r="Z23" s="50">
        <v>1806.4</v>
      </c>
      <c r="AA23" s="51">
        <v>981.5</v>
      </c>
    </row>
    <row r="24" spans="1:28" x14ac:dyDescent="0.25">
      <c r="A24" t="s">
        <v>41</v>
      </c>
      <c r="B24" t="s">
        <v>39</v>
      </c>
      <c r="C24" s="40"/>
      <c r="D24" s="44"/>
      <c r="E24" s="44">
        <f t="shared" si="29"/>
        <v>1.6261045503344618</v>
      </c>
      <c r="F24" s="41">
        <f>IF(OR(O24="–",W24="–"),#N/A,O24/(O24-W24))</f>
        <v>2.5152366008753821</v>
      </c>
      <c r="G24" s="40"/>
      <c r="H24" s="44">
        <f t="shared" si="30"/>
        <v>6.0950029052876227</v>
      </c>
      <c r="I24" s="44">
        <f t="shared" si="31"/>
        <v>1.8680273097036604</v>
      </c>
      <c r="J24" s="41">
        <f>IF(OR(S24="–",AA24="–"),#N/A,S24/(S24-AA24))</f>
        <v>1.4288204532248692</v>
      </c>
      <c r="L24" s="52" t="s">
        <v>38</v>
      </c>
      <c r="M24" s="53">
        <v>4040.4</v>
      </c>
      <c r="N24" s="53">
        <v>3938.1</v>
      </c>
      <c r="O24" s="54">
        <v>6091.4</v>
      </c>
      <c r="P24" s="52" t="s">
        <v>38</v>
      </c>
      <c r="Q24" s="53">
        <v>8391.6</v>
      </c>
      <c r="R24" s="53">
        <v>2571.9</v>
      </c>
      <c r="S24" s="54">
        <v>1967.2</v>
      </c>
      <c r="T24" s="52" t="s">
        <v>38</v>
      </c>
      <c r="U24" s="53" t="s">
        <v>38</v>
      </c>
      <c r="V24" s="53">
        <v>1516.3</v>
      </c>
      <c r="W24" s="54">
        <v>3669.6</v>
      </c>
      <c r="X24" s="52" t="s">
        <v>38</v>
      </c>
      <c r="Y24" s="53">
        <v>7014.8</v>
      </c>
      <c r="Z24" s="53">
        <v>1195.0999999999999</v>
      </c>
      <c r="AA24" s="54">
        <v>590.4</v>
      </c>
    </row>
    <row r="26" spans="1:28" x14ac:dyDescent="0.25">
      <c r="A26" t="s">
        <v>47</v>
      </c>
      <c r="B26" t="s">
        <v>47</v>
      </c>
      <c r="C26" s="18">
        <f t="shared" ref="C26:J26" si="32">AVERAGE(C6:C24)</f>
        <v>1.8976550932872447</v>
      </c>
      <c r="D26" s="18">
        <f t="shared" si="32"/>
        <v>2.2032266363052182</v>
      </c>
      <c r="E26" s="18">
        <f t="shared" si="32"/>
        <v>3.0650905358135474</v>
      </c>
      <c r="F26" s="18">
        <f t="shared" si="32"/>
        <v>3.2198305102222009</v>
      </c>
      <c r="G26" s="18">
        <f t="shared" si="32"/>
        <v>1.8809648792686906</v>
      </c>
      <c r="H26" s="18">
        <f t="shared" si="32"/>
        <v>2.4036698451166179</v>
      </c>
      <c r="I26" s="18">
        <f t="shared" si="32"/>
        <v>2.7731780164150392</v>
      </c>
      <c r="J26" s="18">
        <f t="shared" si="32"/>
        <v>2.9442807101480719</v>
      </c>
    </row>
    <row r="30" spans="1:28" x14ac:dyDescent="0.25">
      <c r="C30" s="68" t="str">
        <f t="shared" ref="C30:F30" si="33">C5</f>
        <v>20-29</v>
      </c>
      <c r="D30" s="68" t="str">
        <f t="shared" si="33"/>
        <v>30-39</v>
      </c>
      <c r="E30" s="68" t="str">
        <f t="shared" si="33"/>
        <v>40-49</v>
      </c>
      <c r="F30" s="68" t="str">
        <f t="shared" si="33"/>
        <v>50+</v>
      </c>
      <c r="H30" s="13" t="s">
        <v>81</v>
      </c>
      <c r="I30" s="67" t="str">
        <f t="shared" ref="I30:L30" si="34">"Thun 1997 "&amp;C$30&amp;" Years Smoking*"</f>
        <v>Thun 1997 20-29 Years Smoking*</v>
      </c>
      <c r="J30" s="67" t="str">
        <f t="shared" si="34"/>
        <v>Thun 1997 30-39 Years Smoking*</v>
      </c>
      <c r="K30" s="67" t="str">
        <f t="shared" si="34"/>
        <v>Thun 1997 40-49 Years Smoking*</v>
      </c>
      <c r="L30" s="67" t="str">
        <f t="shared" si="34"/>
        <v>Thun 1997 50+ Years Smoking*</v>
      </c>
    </row>
    <row r="31" spans="1:28" x14ac:dyDescent="0.25">
      <c r="A31" s="4" t="s">
        <v>80</v>
      </c>
      <c r="H31">
        <v>0</v>
      </c>
      <c r="I31" s="21">
        <v>1</v>
      </c>
      <c r="J31" s="21">
        <v>1</v>
      </c>
      <c r="K31" s="21">
        <v>1</v>
      </c>
      <c r="L31" s="21">
        <v>1</v>
      </c>
    </row>
    <row r="32" spans="1:28" x14ac:dyDescent="0.25">
      <c r="A32" s="15" t="s">
        <v>42</v>
      </c>
      <c r="C32" s="71">
        <f t="shared" ref="C32:F32" si="35">AVERAGE(C6:C8,G6:G8)</f>
        <v>1.4780534125853535</v>
      </c>
      <c r="D32" s="72">
        <f t="shared" si="35"/>
        <v>1.9195604748329451</v>
      </c>
      <c r="E32" s="72">
        <f t="shared" si="35"/>
        <v>2.1326478629120857</v>
      </c>
      <c r="F32" s="73">
        <f t="shared" si="35"/>
        <v>2.5572251212452155</v>
      </c>
      <c r="H32">
        <v>0.5</v>
      </c>
      <c r="I32" s="36">
        <f t="shared" ref="I32:L32" si="36">C32</f>
        <v>1.4780534125853535</v>
      </c>
      <c r="J32" s="42">
        <f t="shared" si="36"/>
        <v>1.9195604748329451</v>
      </c>
      <c r="K32" s="42">
        <f t="shared" si="36"/>
        <v>2.1326478629120857</v>
      </c>
      <c r="L32" s="37">
        <f t="shared" si="36"/>
        <v>2.5572251212452155</v>
      </c>
    </row>
    <row r="33" spans="1:16" x14ac:dyDescent="0.25">
      <c r="A33" s="1" t="s">
        <v>43</v>
      </c>
      <c r="C33" s="74">
        <f t="shared" ref="C33:E33" si="37">AVERAGE(C10:C12,G10:G12)</f>
        <v>1.8599772718932617</v>
      </c>
      <c r="D33" s="75">
        <f t="shared" si="37"/>
        <v>2.0872648740670732</v>
      </c>
      <c r="E33" s="75">
        <f t="shared" si="37"/>
        <v>2.8306587019079608</v>
      </c>
      <c r="F33" s="76">
        <f>AVERAGE(F10:F12,J10:J12)</f>
        <v>3.3826484375364072</v>
      </c>
      <c r="H33">
        <v>19.5</v>
      </c>
      <c r="I33" s="38">
        <f t="shared" ref="I33:L33" si="38">I32</f>
        <v>1.4780534125853535</v>
      </c>
      <c r="J33" s="43">
        <f t="shared" si="38"/>
        <v>1.9195604748329451</v>
      </c>
      <c r="K33" s="43">
        <f t="shared" si="38"/>
        <v>2.1326478629120857</v>
      </c>
      <c r="L33" s="39">
        <f t="shared" si="38"/>
        <v>2.5572251212452155</v>
      </c>
    </row>
    <row r="34" spans="1:16" x14ac:dyDescent="0.25">
      <c r="A34" t="s">
        <v>40</v>
      </c>
      <c r="C34" s="74">
        <f t="shared" ref="C34:F34" si="39">AVERAGE(C14:C16,G14:G16)</f>
        <v>2.2953475097781841</v>
      </c>
      <c r="D34" s="75">
        <f t="shared" si="39"/>
        <v>2.0047568001580371</v>
      </c>
      <c r="E34" s="75">
        <f t="shared" si="39"/>
        <v>2.872490845914498</v>
      </c>
      <c r="F34" s="76">
        <f t="shared" si="39"/>
        <v>3.2621293337741508</v>
      </c>
      <c r="H34" s="4">
        <f>H33</f>
        <v>19.5</v>
      </c>
      <c r="I34" s="38">
        <f t="shared" ref="I34:L34" si="40">C33</f>
        <v>1.8599772718932617</v>
      </c>
      <c r="J34" s="43">
        <f t="shared" si="40"/>
        <v>2.0872648740670732</v>
      </c>
      <c r="K34" s="43">
        <f t="shared" si="40"/>
        <v>2.8306587019079608</v>
      </c>
      <c r="L34" s="39">
        <f t="shared" si="40"/>
        <v>3.3826484375364072</v>
      </c>
    </row>
    <row r="35" spans="1:16" x14ac:dyDescent="0.25">
      <c r="A35" s="1" t="s">
        <v>44</v>
      </c>
      <c r="C35" s="74">
        <f t="shared" ref="C35:F35" si="41">AVERAGE(C18:C20,G18:G20)</f>
        <v>1.8028263707429111</v>
      </c>
      <c r="D35" s="75">
        <f t="shared" si="41"/>
        <v>2.4330249198769578</v>
      </c>
      <c r="E35" s="75">
        <f t="shared" si="41"/>
        <v>3.1976948838653434</v>
      </c>
      <c r="F35" s="76">
        <f t="shared" si="41"/>
        <v>3.519022146192381</v>
      </c>
      <c r="H35">
        <v>20.5</v>
      </c>
      <c r="I35" s="38">
        <f t="shared" ref="I35" si="42">I34</f>
        <v>1.8599772718932617</v>
      </c>
      <c r="J35" s="43">
        <f t="shared" ref="J35" si="43">J34</f>
        <v>2.0872648740670732</v>
      </c>
      <c r="K35" s="43">
        <f t="shared" ref="K35" si="44">K34</f>
        <v>2.8306587019079608</v>
      </c>
      <c r="L35" s="39">
        <f t="shared" ref="L35" si="45">L34</f>
        <v>3.3826484375364072</v>
      </c>
    </row>
    <row r="36" spans="1:16" x14ac:dyDescent="0.25">
      <c r="A36" t="s">
        <v>41</v>
      </c>
      <c r="C36" s="77">
        <f>AVERAGE(C22:C24,G22:G24)</f>
        <v>2.4038479735877507</v>
      </c>
      <c r="D36" s="78">
        <f t="shared" ref="D36:F36" si="46">AVERAGE(D22:D24,H22:H24)</f>
        <v>3.2465156342824484</v>
      </c>
      <c r="E36" s="78">
        <f t="shared" si="46"/>
        <v>3.5621790859715818</v>
      </c>
      <c r="F36" s="79">
        <f t="shared" si="46"/>
        <v>2.6892530121775269</v>
      </c>
      <c r="H36" s="4">
        <f>H35</f>
        <v>20.5</v>
      </c>
      <c r="I36" s="38">
        <f t="shared" ref="I36:L36" si="47">C34</f>
        <v>2.2953475097781841</v>
      </c>
      <c r="J36" s="43">
        <f t="shared" si="47"/>
        <v>2.0047568001580371</v>
      </c>
      <c r="K36" s="43">
        <f t="shared" si="47"/>
        <v>2.872490845914498</v>
      </c>
      <c r="L36" s="39">
        <f t="shared" si="47"/>
        <v>3.2621293337741508</v>
      </c>
    </row>
    <row r="37" spans="1:16" x14ac:dyDescent="0.25">
      <c r="H37">
        <v>39.5</v>
      </c>
      <c r="I37" s="38">
        <f t="shared" ref="I37" si="48">I36</f>
        <v>2.2953475097781841</v>
      </c>
      <c r="J37" s="43">
        <f t="shared" ref="J37" si="49">J36</f>
        <v>2.0047568001580371</v>
      </c>
      <c r="K37" s="43">
        <f t="shared" ref="K37" si="50">K36</f>
        <v>2.872490845914498</v>
      </c>
      <c r="L37" s="39">
        <f t="shared" ref="L37" si="51">L36</f>
        <v>3.2621293337741508</v>
      </c>
    </row>
    <row r="38" spans="1:16" x14ac:dyDescent="0.25">
      <c r="A38" t="s">
        <v>85</v>
      </c>
      <c r="H38" s="4">
        <f>H37</f>
        <v>39.5</v>
      </c>
      <c r="I38" s="38">
        <f t="shared" ref="I38:L38" si="52">C35</f>
        <v>1.8028263707429111</v>
      </c>
      <c r="J38" s="43">
        <f t="shared" si="52"/>
        <v>2.4330249198769578</v>
      </c>
      <c r="K38" s="43">
        <f t="shared" si="52"/>
        <v>3.1976948838653434</v>
      </c>
      <c r="L38" s="39">
        <f t="shared" si="52"/>
        <v>3.519022146192381</v>
      </c>
    </row>
    <row r="39" spans="1:16" x14ac:dyDescent="0.25">
      <c r="A39" t="s">
        <v>7</v>
      </c>
      <c r="B39" s="4" t="s">
        <v>84</v>
      </c>
      <c r="H39">
        <v>40.5</v>
      </c>
      <c r="I39" s="38">
        <f t="shared" ref="I39" si="53">I38</f>
        <v>1.8028263707429111</v>
      </c>
      <c r="J39" s="43">
        <f t="shared" ref="J39" si="54">J38</f>
        <v>2.4330249198769578</v>
      </c>
      <c r="K39" s="43">
        <f t="shared" ref="K39" si="55">K38</f>
        <v>3.1976948838653434</v>
      </c>
      <c r="L39" s="39">
        <f t="shared" ref="L39" si="56">L38</f>
        <v>3.519022146192381</v>
      </c>
    </row>
    <row r="40" spans="1:16" x14ac:dyDescent="0.25">
      <c r="A40" s="1" t="s">
        <v>42</v>
      </c>
      <c r="C40" s="16">
        <f>AVERAGE(11.6,10.6)</f>
        <v>11.1</v>
      </c>
      <c r="D40" s="69">
        <f>AVERAGE(18.6,9.6,6.5)</f>
        <v>11.566666666666668</v>
      </c>
      <c r="E40" s="69">
        <f>AVERAGE(32.2,21.5,14)</f>
        <v>22.566666666666666</v>
      </c>
      <c r="F40" s="8">
        <v>20.5</v>
      </c>
      <c r="H40" s="4">
        <f>H39</f>
        <v>40.5</v>
      </c>
      <c r="I40" s="38">
        <f t="shared" ref="I40:L40" si="57">C36</f>
        <v>2.4038479735877507</v>
      </c>
      <c r="J40" s="43">
        <f t="shared" si="57"/>
        <v>3.2465156342824484</v>
      </c>
      <c r="K40" s="43">
        <f t="shared" si="57"/>
        <v>3.5621790859715818</v>
      </c>
      <c r="L40" s="39">
        <f t="shared" si="57"/>
        <v>2.6892530121775269</v>
      </c>
    </row>
    <row r="41" spans="1:16" x14ac:dyDescent="0.25">
      <c r="A41" s="15" t="s">
        <v>11</v>
      </c>
      <c r="C41" s="9">
        <f>AVERAGE(13.5,22.1)</f>
        <v>17.8</v>
      </c>
      <c r="D41" s="17">
        <f>AVERAGE(29.9,13.7,16.1)</f>
        <v>19.899999999999999</v>
      </c>
      <c r="E41" s="17">
        <f>AVERAGE(44.5,28.8,18.5)</f>
        <v>30.599999999999998</v>
      </c>
      <c r="F41" s="10">
        <f>AVERAGE(53.4,28.4)</f>
        <v>40.9</v>
      </c>
      <c r="H41" s="4">
        <v>45</v>
      </c>
      <c r="I41" s="40">
        <f t="shared" ref="I41" si="58">I40</f>
        <v>2.4038479735877507</v>
      </c>
      <c r="J41" s="44">
        <f t="shared" ref="J41" si="59">J40</f>
        <v>3.2465156342824484</v>
      </c>
      <c r="K41" s="44">
        <f t="shared" ref="K41" si="60">K40</f>
        <v>3.5621790859715818</v>
      </c>
      <c r="L41" s="41">
        <f t="shared" ref="L41" si="61">L40</f>
        <v>2.6892530121775269</v>
      </c>
    </row>
    <row r="42" spans="1:16" x14ac:dyDescent="0.25">
      <c r="A42" t="s">
        <v>12</v>
      </c>
      <c r="C42" s="11">
        <v>23.6</v>
      </c>
      <c r="D42" s="70">
        <f>AVERAGE(39.4,32.8)</f>
        <v>36.099999999999994</v>
      </c>
      <c r="E42" s="70">
        <f>AVERAGE(67.4,40.3,35.4)</f>
        <v>47.699999999999996</v>
      </c>
      <c r="F42" s="12">
        <f>AVERAGE(52,36.3)</f>
        <v>44.15</v>
      </c>
      <c r="I42" s="67" t="str">
        <f t="shared" ref="I42:L42" si="62">"Thun 1997 "&amp;C$30&amp;" Years Smoking, Men*"</f>
        <v>Thun 1997 20-29 Years Smoking, Men*</v>
      </c>
      <c r="J42" s="67" t="str">
        <f t="shared" si="62"/>
        <v>Thun 1997 30-39 Years Smoking, Men*</v>
      </c>
      <c r="K42" s="67" t="str">
        <f t="shared" si="62"/>
        <v>Thun 1997 40-49 Years Smoking, Men*</v>
      </c>
      <c r="L42" s="67" t="str">
        <f t="shared" si="62"/>
        <v>Thun 1997 50+ Years Smoking, Men*</v>
      </c>
      <c r="M42" t="str">
        <f>"Thun 1997 "&amp;C$30&amp;" Years Smoking, Women*"</f>
        <v>Thun 1997 20-29 Years Smoking, Women*</v>
      </c>
      <c r="N42" t="str">
        <f t="shared" ref="N42:P42" si="63">"Thun 1997 "&amp;D$30&amp;" Years Smoking, Women*"</f>
        <v>Thun 1997 30-39 Years Smoking, Women*</v>
      </c>
      <c r="O42" t="str">
        <f t="shared" si="63"/>
        <v>Thun 1997 40-49 Years Smoking, Women*</v>
      </c>
      <c r="P42" t="str">
        <f t="shared" si="63"/>
        <v>Thun 1997 50+ Years Smoking, Women*</v>
      </c>
    </row>
    <row r="43" spans="1:16" x14ac:dyDescent="0.25">
      <c r="A43" t="s">
        <v>8</v>
      </c>
      <c r="B43" s="4" t="s">
        <v>84</v>
      </c>
      <c r="H43">
        <v>0</v>
      </c>
      <c r="I43" s="21">
        <v>1</v>
      </c>
      <c r="J43" s="21">
        <v>1</v>
      </c>
      <c r="K43" s="21">
        <v>1</v>
      </c>
      <c r="L43" s="21">
        <v>1</v>
      </c>
      <c r="M43" s="21">
        <v>1</v>
      </c>
      <c r="N43" s="21">
        <v>1</v>
      </c>
      <c r="O43" s="21">
        <v>1</v>
      </c>
      <c r="P43" s="21">
        <v>1</v>
      </c>
    </row>
    <row r="44" spans="1:16" x14ac:dyDescent="0.25">
      <c r="A44" s="1" t="s">
        <v>42</v>
      </c>
      <c r="C44" s="16">
        <f>AVERAGE(4.4,4.6,3.3)</f>
        <v>4.1000000000000005</v>
      </c>
      <c r="D44" s="69">
        <f>AVERAGE(10.1,9.3,4)</f>
        <v>7.8</v>
      </c>
      <c r="E44" s="69">
        <f>AVERAGE(9.5,10.1,5.4)</f>
        <v>8.3333333333333339</v>
      </c>
      <c r="F44" s="8">
        <f>AVERAGE(16.5,7.6)</f>
        <v>12.05</v>
      </c>
      <c r="H44">
        <v>0.5</v>
      </c>
      <c r="I44" s="16">
        <f t="shared" ref="I44:L44" si="64">C40</f>
        <v>11.1</v>
      </c>
      <c r="J44" s="69">
        <f t="shared" si="64"/>
        <v>11.566666666666668</v>
      </c>
      <c r="K44" s="69">
        <f t="shared" si="64"/>
        <v>22.566666666666666</v>
      </c>
      <c r="L44" s="8">
        <f t="shared" si="64"/>
        <v>20.5</v>
      </c>
      <c r="M44" s="16">
        <f t="shared" ref="M44:P44" si="65">C44</f>
        <v>4.1000000000000005</v>
      </c>
      <c r="N44" s="69">
        <f t="shared" si="65"/>
        <v>7.8</v>
      </c>
      <c r="O44" s="69">
        <f t="shared" si="65"/>
        <v>8.3333333333333339</v>
      </c>
      <c r="P44" s="8">
        <f t="shared" si="65"/>
        <v>12.05</v>
      </c>
    </row>
    <row r="45" spans="1:16" x14ac:dyDescent="0.25">
      <c r="A45" s="15" t="s">
        <v>11</v>
      </c>
      <c r="C45" s="9">
        <f>AVERAGE(10.3,10.8,10.6)</f>
        <v>10.566666666666668</v>
      </c>
      <c r="D45" s="17">
        <f>AVERAGE(18.7,15.7,9.5)</f>
        <v>14.633333333333333</v>
      </c>
      <c r="E45" s="17">
        <f>AVERAGE(35,20.5,17.4)</f>
        <v>24.3</v>
      </c>
      <c r="F45" s="10">
        <f>AVERAGE(43.3,17)</f>
        <v>30.15</v>
      </c>
      <c r="H45">
        <v>19.5</v>
      </c>
      <c r="I45" s="9">
        <f t="shared" ref="I45:L45" si="66">I44</f>
        <v>11.1</v>
      </c>
      <c r="J45" s="17">
        <f t="shared" si="66"/>
        <v>11.566666666666668</v>
      </c>
      <c r="K45" s="17">
        <f t="shared" si="66"/>
        <v>22.566666666666666</v>
      </c>
      <c r="L45" s="10">
        <f t="shared" si="66"/>
        <v>20.5</v>
      </c>
      <c r="M45" s="9">
        <f t="shared" ref="M45:P45" si="67">M44</f>
        <v>4.1000000000000005</v>
      </c>
      <c r="N45" s="17">
        <f t="shared" si="67"/>
        <v>7.8</v>
      </c>
      <c r="O45" s="17">
        <f t="shared" si="67"/>
        <v>8.3333333333333339</v>
      </c>
      <c r="P45" s="10">
        <f t="shared" si="67"/>
        <v>12.05</v>
      </c>
    </row>
    <row r="46" spans="1:16" x14ac:dyDescent="0.25">
      <c r="A46" t="s">
        <v>12</v>
      </c>
      <c r="C46" s="11">
        <v>16.399999999999999</v>
      </c>
      <c r="D46" s="70">
        <f>AVERAGE(24.8,18.1)</f>
        <v>21.450000000000003</v>
      </c>
      <c r="E46" s="70">
        <f>AVERAGE(28.8,37.2,15.9)</f>
        <v>27.3</v>
      </c>
      <c r="F46" s="12">
        <f>AVERAGE(28.8,23.7)</f>
        <v>26.25</v>
      </c>
      <c r="H46" s="4">
        <f>H45</f>
        <v>19.5</v>
      </c>
      <c r="I46" s="9">
        <f t="shared" ref="I46:L46" si="68">C41</f>
        <v>17.8</v>
      </c>
      <c r="J46" s="17">
        <f t="shared" si="68"/>
        <v>19.899999999999999</v>
      </c>
      <c r="K46" s="17">
        <f t="shared" si="68"/>
        <v>30.599999999999998</v>
      </c>
      <c r="L46" s="10">
        <f t="shared" si="68"/>
        <v>40.9</v>
      </c>
      <c r="M46" s="9">
        <f t="shared" ref="M46:P46" si="69">C45</f>
        <v>10.566666666666668</v>
      </c>
      <c r="N46" s="17">
        <f t="shared" si="69"/>
        <v>14.633333333333333</v>
      </c>
      <c r="O46" s="17">
        <f t="shared" si="69"/>
        <v>24.3</v>
      </c>
      <c r="P46" s="10">
        <f t="shared" si="69"/>
        <v>30.15</v>
      </c>
    </row>
    <row r="47" spans="1:16" x14ac:dyDescent="0.25">
      <c r="H47">
        <v>39.5</v>
      </c>
      <c r="I47" s="9">
        <f t="shared" ref="I47" si="70">I46</f>
        <v>17.8</v>
      </c>
      <c r="J47" s="17">
        <f t="shared" ref="J47" si="71">J46</f>
        <v>19.899999999999999</v>
      </c>
      <c r="K47" s="17">
        <f t="shared" ref="K47" si="72">K46</f>
        <v>30.599999999999998</v>
      </c>
      <c r="L47" s="10">
        <f t="shared" ref="L47" si="73">L46</f>
        <v>40.9</v>
      </c>
      <c r="M47" s="9">
        <f t="shared" ref="M47:P47" si="74">M46</f>
        <v>10.566666666666668</v>
      </c>
      <c r="N47" s="17">
        <f t="shared" si="74"/>
        <v>14.633333333333333</v>
      </c>
      <c r="O47" s="17">
        <f t="shared" si="74"/>
        <v>24.3</v>
      </c>
      <c r="P47" s="10">
        <f t="shared" si="74"/>
        <v>30.15</v>
      </c>
    </row>
    <row r="48" spans="1:16" x14ac:dyDescent="0.25">
      <c r="A48" s="45"/>
      <c r="H48" s="4">
        <f>H47</f>
        <v>39.5</v>
      </c>
      <c r="I48" s="9">
        <f t="shared" ref="I48:L48" si="75">C42</f>
        <v>23.6</v>
      </c>
      <c r="J48" s="17">
        <f t="shared" si="75"/>
        <v>36.099999999999994</v>
      </c>
      <c r="K48" s="17">
        <f t="shared" si="75"/>
        <v>47.699999999999996</v>
      </c>
      <c r="L48" s="10">
        <f t="shared" si="75"/>
        <v>44.15</v>
      </c>
      <c r="M48" s="9">
        <f t="shared" ref="M48:P48" si="76">C46</f>
        <v>16.399999999999999</v>
      </c>
      <c r="N48" s="17">
        <f t="shared" si="76"/>
        <v>21.450000000000003</v>
      </c>
      <c r="O48" s="17">
        <f t="shared" si="76"/>
        <v>27.3</v>
      </c>
      <c r="P48" s="10">
        <f t="shared" si="76"/>
        <v>26.25</v>
      </c>
    </row>
    <row r="49" spans="8:16" x14ac:dyDescent="0.25">
      <c r="H49" s="4">
        <v>45</v>
      </c>
      <c r="I49" s="11">
        <f t="shared" ref="I49:L49" si="77">I48</f>
        <v>23.6</v>
      </c>
      <c r="J49" s="70">
        <f t="shared" si="77"/>
        <v>36.099999999999994</v>
      </c>
      <c r="K49" s="70">
        <f t="shared" si="77"/>
        <v>47.699999999999996</v>
      </c>
      <c r="L49" s="12">
        <f t="shared" si="77"/>
        <v>44.15</v>
      </c>
      <c r="M49" s="11">
        <f t="shared" ref="M49:P49" si="78">M48</f>
        <v>16.399999999999999</v>
      </c>
      <c r="N49" s="70">
        <f t="shared" si="78"/>
        <v>21.450000000000003</v>
      </c>
      <c r="O49" s="70">
        <f t="shared" si="78"/>
        <v>27.3</v>
      </c>
      <c r="P49" s="12">
        <f t="shared" si="78"/>
        <v>26.25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22"/>
  <sheetViews>
    <sheetView showGridLines="0" tabSelected="1" zoomScale="80" zoomScaleNormal="80" workbookViewId="0"/>
  </sheetViews>
  <sheetFormatPr defaultColWidth="7.33203125" defaultRowHeight="13.2" x14ac:dyDescent="0.25"/>
  <cols>
    <col min="5" max="5" width="7.33203125" customWidth="1"/>
    <col min="8" max="10" width="7.33203125" customWidth="1"/>
    <col min="26" max="27" width="7.109375" customWidth="1"/>
  </cols>
  <sheetData>
    <row r="1" spans="1:20" ht="17.399999999999999" x14ac:dyDescent="0.3">
      <c r="A1" s="2" t="s">
        <v>83</v>
      </c>
    </row>
    <row r="2" spans="1:20" x14ac:dyDescent="0.25">
      <c r="A2" s="7" t="s">
        <v>35</v>
      </c>
      <c r="B2" s="6" t="s">
        <v>32</v>
      </c>
    </row>
    <row r="3" spans="1:20" x14ac:dyDescent="0.25">
      <c r="A3" t="s">
        <v>33</v>
      </c>
      <c r="B3" s="6" t="s">
        <v>34</v>
      </c>
    </row>
    <row r="4" spans="1:20" x14ac:dyDescent="0.25">
      <c r="A4" s="5" t="s">
        <v>56</v>
      </c>
    </row>
    <row r="5" spans="1:20" x14ac:dyDescent="0.25">
      <c r="A5" t="s">
        <v>48</v>
      </c>
    </row>
    <row r="7" spans="1:20" x14ac:dyDescent="0.25">
      <c r="T7" t="s">
        <v>82</v>
      </c>
    </row>
    <row r="8" spans="1:20" x14ac:dyDescent="0.25">
      <c r="A8" t="s">
        <v>72</v>
      </c>
      <c r="T8" s="66">
        <v>1</v>
      </c>
    </row>
    <row r="9" spans="1:20" x14ac:dyDescent="0.25">
      <c r="A9" t="s">
        <v>73</v>
      </c>
      <c r="G9" t="s">
        <v>79</v>
      </c>
      <c r="T9" s="66">
        <v>0.35</v>
      </c>
    </row>
    <row r="10" spans="1:20" x14ac:dyDescent="0.25">
      <c r="A10" t="s">
        <v>45</v>
      </c>
      <c r="B10" s="21" t="s">
        <v>7</v>
      </c>
      <c r="C10" s="21" t="s">
        <v>8</v>
      </c>
      <c r="D10" s="62" t="s">
        <v>29</v>
      </c>
      <c r="G10" t="s">
        <v>45</v>
      </c>
      <c r="H10" t="s">
        <v>7</v>
      </c>
      <c r="I10" t="s">
        <v>8</v>
      </c>
      <c r="M10" s="4">
        <v>0</v>
      </c>
      <c r="N10" s="4">
        <v>1</v>
      </c>
      <c r="O10" s="4">
        <v>1</v>
      </c>
      <c r="P10" s="4">
        <v>0</v>
      </c>
      <c r="Q10" s="4">
        <v>1</v>
      </c>
      <c r="R10" s="4">
        <v>1</v>
      </c>
      <c r="T10">
        <f t="shared" ref="T10:T22" si="0">1+T$8*LN(1+T$9*M10)</f>
        <v>1</v>
      </c>
    </row>
    <row r="11" spans="1:20" x14ac:dyDescent="0.25">
      <c r="A11" t="s">
        <v>9</v>
      </c>
      <c r="B11" s="57">
        <v>2.21</v>
      </c>
      <c r="C11" s="58">
        <v>2.27</v>
      </c>
      <c r="D11" s="3">
        <v>0.24</v>
      </c>
      <c r="E11" s="3">
        <v>0.42899999999999999</v>
      </c>
      <c r="G11" s="1" t="s">
        <v>74</v>
      </c>
      <c r="H11" s="16">
        <v>1.57</v>
      </c>
      <c r="I11" s="8">
        <v>1.47</v>
      </c>
      <c r="J11" t="s">
        <v>9</v>
      </c>
      <c r="K11" s="61">
        <f>B11</f>
        <v>2.21</v>
      </c>
      <c r="L11" s="61">
        <f>C11</f>
        <v>2.27</v>
      </c>
      <c r="M11">
        <v>0.5</v>
      </c>
      <c r="N11" s="16">
        <f>AVERAGE(H11,I11)</f>
        <v>1.52</v>
      </c>
      <c r="O11" s="8">
        <f t="shared" ref="O11" si="1">I11</f>
        <v>1.47</v>
      </c>
      <c r="P11">
        <v>0.5</v>
      </c>
      <c r="Q11" s="16">
        <f>AVERAGE(B11,C11)</f>
        <v>2.2400000000000002</v>
      </c>
      <c r="R11" s="8">
        <f t="shared" ref="R11" si="2">C11</f>
        <v>2.27</v>
      </c>
      <c r="T11">
        <f t="shared" si="0"/>
        <v>1.1612681475961224</v>
      </c>
    </row>
    <row r="12" spans="1:20" x14ac:dyDescent="0.25">
      <c r="A12" s="1" t="s">
        <v>10</v>
      </c>
      <c r="B12" s="59">
        <v>2.6</v>
      </c>
      <c r="C12" s="60">
        <v>2.69</v>
      </c>
      <c r="D12" s="3">
        <v>0.36</v>
      </c>
      <c r="E12" s="3">
        <v>0.35899999999999999</v>
      </c>
      <c r="G12" s="1" t="s">
        <v>24</v>
      </c>
      <c r="H12" s="9">
        <v>1.94</v>
      </c>
      <c r="I12" s="10">
        <v>1.9</v>
      </c>
      <c r="J12" t="s">
        <v>9</v>
      </c>
      <c r="M12">
        <v>4.5</v>
      </c>
      <c r="N12" s="9">
        <f t="shared" ref="N12:O12" si="3">N11</f>
        <v>1.52</v>
      </c>
      <c r="O12" s="10">
        <f t="shared" si="3"/>
        <v>1.47</v>
      </c>
      <c r="P12">
        <v>9.5</v>
      </c>
      <c r="Q12" s="9">
        <f t="shared" ref="Q12:R12" si="4">Q11</f>
        <v>2.2400000000000002</v>
      </c>
      <c r="R12" s="10">
        <f t="shared" si="4"/>
        <v>2.27</v>
      </c>
      <c r="T12">
        <f t="shared" si="0"/>
        <v>1.9458495341156996</v>
      </c>
    </row>
    <row r="13" spans="1:20" x14ac:dyDescent="0.25">
      <c r="A13" t="s">
        <v>11</v>
      </c>
      <c r="B13" s="25">
        <v>3.33</v>
      </c>
      <c r="C13" s="26">
        <v>3.48</v>
      </c>
      <c r="D13" s="3">
        <v>0.34300000000000003</v>
      </c>
      <c r="E13" s="3">
        <v>0.184</v>
      </c>
      <c r="G13" s="1" t="s">
        <v>75</v>
      </c>
      <c r="H13" s="9">
        <v>2.36</v>
      </c>
      <c r="I13" s="10">
        <v>2.29</v>
      </c>
      <c r="J13" s="1" t="s">
        <v>10</v>
      </c>
      <c r="K13" s="61">
        <f>B12</f>
        <v>2.6</v>
      </c>
      <c r="L13" s="61">
        <f>C12</f>
        <v>2.69</v>
      </c>
      <c r="M13">
        <v>4.5</v>
      </c>
      <c r="N13" s="9">
        <f>AVERAGE(H12,I12)</f>
        <v>1.92</v>
      </c>
      <c r="O13" s="10">
        <f>I12</f>
        <v>1.9</v>
      </c>
      <c r="P13">
        <v>9.5</v>
      </c>
      <c r="Q13" s="64">
        <f>AVERAGE(B12,C12)</f>
        <v>2.645</v>
      </c>
      <c r="R13" s="65">
        <f>C12</f>
        <v>2.69</v>
      </c>
      <c r="T13">
        <f t="shared" si="0"/>
        <v>1.9458495341156996</v>
      </c>
    </row>
    <row r="14" spans="1:20" x14ac:dyDescent="0.25">
      <c r="A14" t="s">
        <v>12</v>
      </c>
      <c r="B14" s="27">
        <v>4.08</v>
      </c>
      <c r="C14" s="28">
        <v>4.41</v>
      </c>
      <c r="D14" s="3">
        <v>4.3999999999999997E-2</v>
      </c>
      <c r="E14" s="3">
        <v>1.2E-2</v>
      </c>
      <c r="G14" t="s">
        <v>76</v>
      </c>
      <c r="H14" s="9">
        <v>2.66</v>
      </c>
      <c r="I14" s="10">
        <v>2.97</v>
      </c>
      <c r="J14" s="63" t="s">
        <v>10</v>
      </c>
      <c r="M14">
        <v>9.5</v>
      </c>
      <c r="N14" s="9">
        <f>N13</f>
        <v>1.92</v>
      </c>
      <c r="O14" s="10">
        <f>O13</f>
        <v>1.9</v>
      </c>
      <c r="P14">
        <v>19.5</v>
      </c>
      <c r="Q14" s="9">
        <f>Q13</f>
        <v>2.645</v>
      </c>
      <c r="R14" s="10">
        <f t="shared" ref="R14" si="5">R13</f>
        <v>2.69</v>
      </c>
      <c r="T14">
        <f t="shared" si="0"/>
        <v>2.4644121403838426</v>
      </c>
    </row>
    <row r="15" spans="1:20" x14ac:dyDescent="0.25">
      <c r="G15" t="s">
        <v>77</v>
      </c>
      <c r="H15" s="9">
        <v>3.19</v>
      </c>
      <c r="I15" s="10">
        <v>3.14</v>
      </c>
      <c r="J15" t="s">
        <v>11</v>
      </c>
      <c r="K15">
        <f>B13</f>
        <v>3.33</v>
      </c>
      <c r="L15">
        <f>C13</f>
        <v>3.48</v>
      </c>
      <c r="M15">
        <v>9.5</v>
      </c>
      <c r="N15" s="9">
        <f>AVERAGE(H13,I13)</f>
        <v>2.3250000000000002</v>
      </c>
      <c r="O15" s="10">
        <f>I13</f>
        <v>2.29</v>
      </c>
      <c r="P15">
        <v>19.5</v>
      </c>
      <c r="Q15" s="9">
        <f>AVERAGE(B13,C13)</f>
        <v>3.4050000000000002</v>
      </c>
      <c r="R15" s="10">
        <f>C13</f>
        <v>3.48</v>
      </c>
      <c r="T15">
        <f t="shared" si="0"/>
        <v>2.4644121403838426</v>
      </c>
    </row>
    <row r="16" spans="1:20" x14ac:dyDescent="0.25">
      <c r="A16" s="4" t="s">
        <v>71</v>
      </c>
      <c r="B16" s="4">
        <f>SUMPRODUCT(B11:B14,D11:D14)</f>
        <v>2.7881100000000001</v>
      </c>
      <c r="C16" s="4">
        <f>SUMPRODUCT(C11:C14,E11:E14)</f>
        <v>2.6327799999999999</v>
      </c>
      <c r="D16" s="80">
        <f t="shared" ref="D16:E16" si="6">D11*5+D12*15+D13*30+D14*45</f>
        <v>18.87</v>
      </c>
      <c r="E16" s="80">
        <f t="shared" si="6"/>
        <v>13.59</v>
      </c>
      <c r="G16" t="s">
        <v>78</v>
      </c>
      <c r="H16" s="11">
        <v>3.42</v>
      </c>
      <c r="I16" s="12">
        <v>2.61</v>
      </c>
      <c r="J16" t="s">
        <v>11</v>
      </c>
      <c r="M16">
        <v>14.5</v>
      </c>
      <c r="N16" s="9">
        <f>N15</f>
        <v>2.3250000000000002</v>
      </c>
      <c r="O16" s="10">
        <f>O15</f>
        <v>2.29</v>
      </c>
      <c r="P16">
        <v>39.5</v>
      </c>
      <c r="Q16" s="9">
        <f>Q15</f>
        <v>3.4050000000000002</v>
      </c>
      <c r="R16" s="10">
        <f t="shared" ref="R16" si="7">R15</f>
        <v>3.48</v>
      </c>
      <c r="T16">
        <f t="shared" si="0"/>
        <v>2.804181989226612</v>
      </c>
    </row>
    <row r="17" spans="10:20" x14ac:dyDescent="0.25">
      <c r="J17" t="s">
        <v>12</v>
      </c>
      <c r="K17">
        <f>B14</f>
        <v>4.08</v>
      </c>
      <c r="L17">
        <f>C14</f>
        <v>4.41</v>
      </c>
      <c r="M17">
        <v>14.5</v>
      </c>
      <c r="N17" s="9">
        <f>AVERAGE(H14,I14)</f>
        <v>2.8150000000000004</v>
      </c>
      <c r="O17" s="10">
        <f>I14</f>
        <v>2.97</v>
      </c>
      <c r="P17">
        <v>39.5</v>
      </c>
      <c r="Q17" s="9">
        <f>AVERAGE(B14,C14)</f>
        <v>4.2450000000000001</v>
      </c>
      <c r="R17" s="10">
        <f>C14</f>
        <v>4.41</v>
      </c>
      <c r="T17">
        <f t="shared" si="0"/>
        <v>2.804181989226612</v>
      </c>
    </row>
    <row r="18" spans="10:20" x14ac:dyDescent="0.25">
      <c r="M18">
        <v>19.5</v>
      </c>
      <c r="N18" s="9">
        <f>N17</f>
        <v>2.8150000000000004</v>
      </c>
      <c r="O18" s="10">
        <f>O17</f>
        <v>2.97</v>
      </c>
      <c r="P18" s="4">
        <v>45</v>
      </c>
      <c r="Q18" s="11">
        <f>Q17</f>
        <v>4.2450000000000001</v>
      </c>
      <c r="R18" s="12">
        <f t="shared" ref="R18" si="8">R17</f>
        <v>4.41</v>
      </c>
      <c r="T18">
        <f t="shared" si="0"/>
        <v>3.0573237364262167</v>
      </c>
    </row>
    <row r="19" spans="10:20" x14ac:dyDescent="0.25">
      <c r="M19">
        <v>19.5</v>
      </c>
      <c r="N19" s="9">
        <f>AVERAGE(H15,I15)</f>
        <v>3.165</v>
      </c>
      <c r="O19" s="10">
        <f>I15</f>
        <v>3.14</v>
      </c>
      <c r="T19">
        <f t="shared" si="0"/>
        <v>3.0573237364262167</v>
      </c>
    </row>
    <row r="20" spans="10:20" x14ac:dyDescent="0.25">
      <c r="M20">
        <v>24.5</v>
      </c>
      <c r="N20" s="9">
        <f>N19</f>
        <v>3.165</v>
      </c>
      <c r="O20" s="10">
        <f>O19</f>
        <v>3.14</v>
      </c>
      <c r="T20">
        <f t="shared" si="0"/>
        <v>3.2591555350667094</v>
      </c>
    </row>
    <row r="21" spans="10:20" x14ac:dyDescent="0.25">
      <c r="M21">
        <v>24.5</v>
      </c>
      <c r="N21" s="9">
        <f>AVERAGE(H16,I16)</f>
        <v>3.0149999999999997</v>
      </c>
      <c r="O21" s="10">
        <f>I16</f>
        <v>2.61</v>
      </c>
      <c r="T21">
        <f t="shared" si="0"/>
        <v>3.2591555350667094</v>
      </c>
    </row>
    <row r="22" spans="10:20" x14ac:dyDescent="0.25">
      <c r="M22" s="4">
        <v>45</v>
      </c>
      <c r="N22" s="11">
        <f>N21</f>
        <v>3.0149999999999997</v>
      </c>
      <c r="O22" s="12">
        <f>O21</f>
        <v>2.61</v>
      </c>
      <c r="T22">
        <f t="shared" si="0"/>
        <v>3.8183982582710754</v>
      </c>
    </row>
  </sheetData>
  <hyperlinks>
    <hyperlink ref="B2" r:id="rId1"/>
    <hyperlink ref="B3" r:id="rId2"/>
  </hyperlinks>
  <pageMargins left="0.7" right="0.7" top="0.75" bottom="0.75" header="0.3" footer="0.3"/>
  <pageSetup orientation="portrait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Thun2013</vt:lpstr>
      <vt:lpstr>Thun1997</vt:lpstr>
      <vt:lpstr>CPD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Poland</dc:creator>
  <cp:lastModifiedBy>Bill Poland</cp:lastModifiedBy>
  <dcterms:created xsi:type="dcterms:W3CDTF">2014-03-12T23:02:06Z</dcterms:created>
  <dcterms:modified xsi:type="dcterms:W3CDTF">2018-12-06T00:29:04Z</dcterms:modified>
</cp:coreProperties>
</file>